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7.xml" ContentType="application/vnd.openxmlformats-officedocument.spreadsheetml.comments+xml"/>
  <Override PartName="/xl/drawings/drawing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6.xml" ContentType="application/vnd.openxmlformats-officedocument.drawing+xml"/>
  <Override PartName="/xl/comments8.xml" ContentType="application/vnd.openxmlformats-officedocument.spreadsheetml.comments+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7.xml" ContentType="application/vnd.openxmlformats-officedocument.drawing+xml"/>
  <Override PartName="/xl/comments9.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drawings/drawing8.xml" ContentType="application/vnd.openxmlformats-officedocument.drawing+xml"/>
  <Override PartName="/xl/comments10.xml" ContentType="application/vnd.openxmlformats-officedocument.spreadsheetml.comments+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C:\Users\Leena.Manneri\Desktop\Verkkovisut 2023\KALATALOUDEN TYÖKALUPAKKI\"/>
    </mc:Choice>
  </mc:AlternateContent>
  <xr:revisionPtr revIDLastSave="0" documentId="8_{30AC9511-2759-4B89-BBD1-F57E556CE6A1}" xr6:coauthVersionLast="47" xr6:coauthVersionMax="47" xr10:uidLastSave="{00000000-0000-0000-0000-000000000000}"/>
  <bookViews>
    <workbookView xWindow="1515" yWindow="1515" windowWidth="25140" windowHeight="11295" tabRatio="755" activeTab="5" xr2:uid="{00000000-000D-0000-FFFF-FFFF00000000}"/>
  </bookViews>
  <sheets>
    <sheet name="Ohje " sheetId="18" r:id="rId1"/>
    <sheet name="1. Kannattavuuslaskuri" sheetId="22" r:id="rId2"/>
    <sheet name="2.1 Verkkopyynti" sheetId="2" r:id="rId3"/>
    <sheet name="2.2 Rysäpyynti" sheetId="1" r:id="rId4"/>
    <sheet name="3 Saalis" sheetId="3" r:id="rId5"/>
    <sheet name="4 Myynti" sheetId="5" r:id="rId6"/>
    <sheet name="5 Kalan alkukäsittely satamassa" sheetId="4" r:id="rId7"/>
    <sheet name="6 Muuttuvat kustannukset" sheetId="7" r:id="rId8"/>
    <sheet name="7 Kiinteät kustannukset" sheetId="6" r:id="rId9"/>
    <sheet name="8 Taloudellinen tulos" sheetId="8" r:id="rId10"/>
    <sheet name="9 Simulointi" sheetId="9" r:id="rId11"/>
    <sheet name="10. Verot" sheetId="12" r:id="rId12"/>
    <sheet name="11. Työtunnit" sheetId="11" r:id="rId13"/>
    <sheet name="12. Hinnat" sheetId="13" r:id="rId14"/>
  </sheets>
  <definedNames>
    <definedName name="_xlnm.Print_Area" localSheetId="1">'1. Kannattavuuslaskuri'!$B$2:$N$64</definedName>
    <definedName name="_xlnm.Print_Area" localSheetId="11">'10. Verot'!$A$1:$E$21,'10. Verot'!$G$6:$U$19</definedName>
    <definedName name="_xlnm.Print_Area" localSheetId="12">'11. Työtunnit'!$B$2:$J$40,'11. Työtunnit'!$M$13:$Q$37</definedName>
    <definedName name="_xlnm.Print_Area" localSheetId="13">'12. Hinnat'!$B$2:$AD$61,'12. Hinnat'!$AF$4:$BH$45,'12. Hinnat'!$BJ$4:$BQ$31</definedName>
    <definedName name="_xlnm.Print_Area" localSheetId="2">'2.1 Verkkopyynti'!$D$2:$N$58,'2.1 Verkkopyynti'!$R$2:$AB$58,'2.1 Verkkopyynti'!$D$62:$N$116,'2.1 Verkkopyynti'!$R$62:$AB$116</definedName>
    <definedName name="_xlnm.Print_Area" localSheetId="3">'2.2 Rysäpyynti'!$D$2:$G$101,'2.2 Rysäpyynti'!$D$105:$G$202,'2.2 Rysäpyynti'!$K$2:$U$73,'2.2 Rysäpyynti'!$K$105:$U$174</definedName>
    <definedName name="_xlnm.Print_Area" localSheetId="4">'3 Saalis'!$B$3:$P$21,'3 Saalis'!$B$23:$P$109,'3 Saalis'!$B$111:$P$197,'3 Saalis'!$B$199:$P$241,'3 Saalis'!$B$243:$P$329,'3 Saalis'!$T$2:$AA$64,'3 Saalis'!$AB$1:$AR$64,'3 Saalis'!$AS$2:$BK$64,'3 Saalis'!$BL$1:$CF$64,'3 Saalis'!$T$67:$AH$109,'3 Saalis'!$T$111:$AH$197,'3 Saalis'!$CI$3:$CV$65,'3 Saalis'!$CI$67:$CV$153</definedName>
    <definedName name="_xlnm.Print_Area" localSheetId="5">'4 Myynti'!$B$2:$P$105,'4 Myynti'!$B$107:$P$195,'4 Myynti'!$S$2:$AG$105,'4 Myynti'!$S$107:$AG$195,'4 Myynti'!$AI$2:$AW$105,'4 Myynti'!$AI$107:$AW$195,'4 Myynti'!$AY$2:$BM$105,'4 Myynti'!$AY$107:$BM$195,'4 Myynti'!$BO$1:$CH$63,'4 Myynti'!$CJ$2:$CX$111,'4 Myynti'!$CJ$114:$CX$184</definedName>
    <definedName name="_xlnm.Print_Area" localSheetId="6">'5 Kalan alkukäsittely satamassa'!$A$2:$G$48,'5 Kalan alkukäsittely satamassa'!$K$2:$Y$66,'5 Kalan alkukäsittely satamassa'!$AA$5:$AO$75,'5 Kalan alkukäsittely satamassa'!$AQ$4:$BE$75,'5 Kalan alkukäsittely satamassa'!$BG$4:$BU$75,'5 Kalan alkukäsittely satamassa'!$BW$4:$CK$75,'5 Kalan alkukäsittely satamassa'!$CM$4:$DA$75,'5 Kalan alkukäsittely satamassa'!$DC$4:$DQ$75,'5 Kalan alkukäsittely satamassa'!$DS$4:$EG$75,'5 Kalan alkukäsittely satamassa'!$EI$4:$EW$75</definedName>
    <definedName name="_xlnm.Print_Area" localSheetId="7">'6 Muuttuvat kustannukset'!$B$2:$U$54,'6 Muuttuvat kustannukset'!$X$3:$AV$71,'6 Muuttuvat kustannukset'!$AW$2:$BI$71</definedName>
    <definedName name="_xlnm.Print_Area" localSheetId="8">'7 Kiinteät kustannukset'!$B$2:$J$100,'7 Kiinteät kustannukset'!$L$3:$S$100,'7 Kiinteät kustannukset'!$U$3:$AB$39,'7 Kiinteät kustannukset'!$AD$2:$AT$71</definedName>
    <definedName name="_xlnm.Print_Area" localSheetId="9">'8 Taloudellinen tulos'!$B$2:$P$51,'8 Taloudellinen tulos'!$Q$4:$AL$51</definedName>
    <definedName name="_xlnm.Print_Area" localSheetId="10">'9 Simulointi'!$B$2:$N$58,'9 Simulointi'!$P$6:$AB$58,'9 Simulointi'!$AD$6:$AP$62,'9 Simulointi'!$AR$6:$BD$62,'9 Simulointi'!$BF$6:$BR$62,'9 Simulointi'!$BT$6:$CF$62,'9 Simulointi'!$CH$6:$CT$58,'9 Simulointi'!$CW$5:$DI$32,'9 Simulointi'!$DJ$4:$DY$32,'9 Simulointi'!$EB$4:$ET$93</definedName>
    <definedName name="_xlnm.Print_Area" localSheetId="0">'Ohje '!$A$1:$T$48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1" i="22" l="1"/>
  <c r="C62" i="22" s="1"/>
  <c r="C60" i="22"/>
  <c r="E172" i="1"/>
  <c r="C70" i="6" l="1"/>
  <c r="C7" i="11" l="1"/>
  <c r="E134" i="1"/>
  <c r="E124" i="1"/>
  <c r="E86" i="2"/>
  <c r="E94" i="2"/>
  <c r="F15" i="11" l="1"/>
  <c r="H19" i="11"/>
  <c r="G19" i="11"/>
  <c r="D19" i="11"/>
  <c r="C19" i="11"/>
  <c r="F19" i="11" l="1"/>
  <c r="E19" i="11"/>
  <c r="U9" i="6" l="1"/>
  <c r="I10" i="11"/>
  <c r="U127" i="1" l="1"/>
  <c r="S129" i="1" s="1"/>
  <c r="E44" i="2"/>
  <c r="E36" i="2"/>
  <c r="E28" i="2"/>
  <c r="CN53" i="9"/>
  <c r="Z93" i="2" l="1"/>
  <c r="O26" i="11" l="1"/>
  <c r="O25" i="11"/>
  <c r="Q23" i="11" l="1"/>
  <c r="Q22" i="11"/>
  <c r="Q21" i="11"/>
  <c r="Q20" i="11"/>
  <c r="Q19" i="11"/>
  <c r="Q18" i="11"/>
  <c r="Q17" i="11"/>
  <c r="Q16" i="11"/>
  <c r="Q15" i="11"/>
  <c r="K33" i="22" l="1"/>
  <c r="K34" i="22" s="1"/>
  <c r="E53" i="22"/>
  <c r="E52" i="22"/>
  <c r="M10" i="22" l="1"/>
  <c r="E11" i="22"/>
  <c r="M11" i="22"/>
  <c r="E12" i="22"/>
  <c r="F12" i="22" s="1"/>
  <c r="M12" i="22"/>
  <c r="E13" i="22"/>
  <c r="M13" i="22"/>
  <c r="E14" i="22"/>
  <c r="M14" i="22"/>
  <c r="E15" i="22"/>
  <c r="F15" i="22" s="1"/>
  <c r="E16" i="22"/>
  <c r="E17" i="22"/>
  <c r="F17" i="22" s="1"/>
  <c r="E18" i="22"/>
  <c r="F18" i="22" s="1"/>
  <c r="M18" i="22"/>
  <c r="E19" i="22"/>
  <c r="F19" i="22"/>
  <c r="M19" i="22"/>
  <c r="E20" i="22"/>
  <c r="M20" i="22"/>
  <c r="E21" i="22"/>
  <c r="F21" i="22" s="1"/>
  <c r="E22" i="22"/>
  <c r="F22" i="22" s="1"/>
  <c r="C23" i="22"/>
  <c r="N23" i="22"/>
  <c r="F24" i="22"/>
  <c r="N24" i="22"/>
  <c r="M26" i="22"/>
  <c r="E28" i="22"/>
  <c r="M28" i="22"/>
  <c r="D29" i="22"/>
  <c r="E29" i="22" s="1"/>
  <c r="D30" i="22"/>
  <c r="E30" i="22" s="1"/>
  <c r="F37" i="22"/>
  <c r="F39" i="22"/>
  <c r="F40" i="22"/>
  <c r="E42" i="22"/>
  <c r="E54" i="22" s="1"/>
  <c r="F44" i="22"/>
  <c r="F45" i="22"/>
  <c r="E46" i="22"/>
  <c r="E55" i="22" s="1"/>
  <c r="F55" i="22" s="1"/>
  <c r="E35" i="22" l="1"/>
  <c r="M15" i="22"/>
  <c r="E23" i="22"/>
  <c r="D23" i="22" s="1"/>
  <c r="E51" i="22"/>
  <c r="F46" i="22"/>
  <c r="F11" i="22"/>
  <c r="E25" i="22" l="1"/>
  <c r="F30" i="22" s="1"/>
  <c r="F14" i="22" l="1"/>
  <c r="F32" i="22"/>
  <c r="F16" i="22"/>
  <c r="E43" i="22"/>
  <c r="E47" i="22" s="1"/>
  <c r="F41" i="22"/>
  <c r="F35" i="22"/>
  <c r="F42" i="22"/>
  <c r="E50" i="22"/>
  <c r="F50" i="22" s="1"/>
  <c r="F51" i="22"/>
  <c r="F52" i="22"/>
  <c r="F29" i="22"/>
  <c r="F53" i="22"/>
  <c r="F13" i="22"/>
  <c r="F33" i="22"/>
  <c r="F38" i="22"/>
  <c r="F54" i="22"/>
  <c r="F25" i="22"/>
  <c r="F23" i="22"/>
  <c r="F20" i="22"/>
  <c r="F28" i="22"/>
  <c r="F36" i="22"/>
  <c r="F34" i="22"/>
  <c r="F43" i="22" l="1"/>
  <c r="C64" i="22"/>
  <c r="E56" i="22"/>
  <c r="F56" i="22" s="1"/>
  <c r="F47" i="22"/>
  <c r="N16" i="4" l="1"/>
  <c r="AD16" i="4" s="1"/>
  <c r="E91" i="1"/>
  <c r="BM57" i="9"/>
  <c r="N127" i="1"/>
  <c r="L129" i="1" s="1"/>
  <c r="H20" i="11" s="1"/>
  <c r="U26" i="1"/>
  <c r="S28" i="1" s="1"/>
  <c r="N26" i="1"/>
  <c r="L28" i="1" s="1"/>
  <c r="N55" i="4"/>
  <c r="AD55" i="4" s="1"/>
  <c r="O65" i="4"/>
  <c r="AE65" i="4" s="1"/>
  <c r="P65" i="4"/>
  <c r="AF65" i="4" s="1"/>
  <c r="Q65" i="4"/>
  <c r="AG65" i="4" s="1"/>
  <c r="R65" i="4"/>
  <c r="AH65" i="4" s="1"/>
  <c r="S65" i="4"/>
  <c r="AI65" i="4" s="1"/>
  <c r="T65" i="4"/>
  <c r="AJ65" i="4" s="1"/>
  <c r="U65" i="4"/>
  <c r="AK65" i="4" s="1"/>
  <c r="V65" i="4"/>
  <c r="AL65" i="4" s="1"/>
  <c r="W65" i="4"/>
  <c r="AM65" i="4" s="1"/>
  <c r="X65" i="4"/>
  <c r="AN65" i="4" s="1"/>
  <c r="Y65" i="4"/>
  <c r="AO65" i="4" s="1"/>
  <c r="N65" i="4"/>
  <c r="AD65" i="4" s="1"/>
  <c r="O60" i="4"/>
  <c r="AE60" i="4" s="1"/>
  <c r="P60" i="4"/>
  <c r="AF60" i="4" s="1"/>
  <c r="Q60" i="4"/>
  <c r="AG60" i="4" s="1"/>
  <c r="R60" i="4"/>
  <c r="AH60" i="4" s="1"/>
  <c r="S60" i="4"/>
  <c r="AI60" i="4" s="1"/>
  <c r="T60" i="4"/>
  <c r="AJ60" i="4" s="1"/>
  <c r="U60" i="4"/>
  <c r="AK60" i="4" s="1"/>
  <c r="V60" i="4"/>
  <c r="AL60" i="4" s="1"/>
  <c r="W60" i="4"/>
  <c r="AM60" i="4" s="1"/>
  <c r="X60" i="4"/>
  <c r="AN60" i="4" s="1"/>
  <c r="Y60" i="4"/>
  <c r="AO60" i="4" s="1"/>
  <c r="N60" i="4"/>
  <c r="AD60" i="4" s="1"/>
  <c r="O55" i="4"/>
  <c r="AE55" i="4" s="1"/>
  <c r="P55" i="4"/>
  <c r="AF55" i="4" s="1"/>
  <c r="Q55" i="4"/>
  <c r="AG55" i="4" s="1"/>
  <c r="R55" i="4"/>
  <c r="AH55" i="4" s="1"/>
  <c r="S55" i="4"/>
  <c r="AI55" i="4" s="1"/>
  <c r="T55" i="4"/>
  <c r="AJ55" i="4" s="1"/>
  <c r="U55" i="4"/>
  <c r="AK55" i="4" s="1"/>
  <c r="V55" i="4"/>
  <c r="AL55" i="4" s="1"/>
  <c r="W55" i="4"/>
  <c r="AM55" i="4" s="1"/>
  <c r="X55" i="4"/>
  <c r="AN55" i="4" s="1"/>
  <c r="Y55" i="4"/>
  <c r="AO55" i="4" s="1"/>
  <c r="O50" i="4"/>
  <c r="AE50" i="4" s="1"/>
  <c r="P50" i="4"/>
  <c r="AF50" i="4" s="1"/>
  <c r="Q50" i="4"/>
  <c r="AG50" i="4" s="1"/>
  <c r="R50" i="4"/>
  <c r="AH50" i="4" s="1"/>
  <c r="S50" i="4"/>
  <c r="AI50" i="4" s="1"/>
  <c r="T50" i="4"/>
  <c r="AJ50" i="4" s="1"/>
  <c r="U50" i="4"/>
  <c r="AK50" i="4" s="1"/>
  <c r="V50" i="4"/>
  <c r="AL50" i="4" s="1"/>
  <c r="W50" i="4"/>
  <c r="AM50" i="4" s="1"/>
  <c r="X50" i="4"/>
  <c r="AN50" i="4" s="1"/>
  <c r="Y50" i="4"/>
  <c r="AO50" i="4" s="1"/>
  <c r="N50" i="4"/>
  <c r="AD50" i="4" s="1"/>
  <c r="O43" i="4"/>
  <c r="AE43" i="4" s="1"/>
  <c r="P43" i="4"/>
  <c r="AF43" i="4" s="1"/>
  <c r="Q43" i="4"/>
  <c r="AG43" i="4" s="1"/>
  <c r="R43" i="4"/>
  <c r="AH43" i="4" s="1"/>
  <c r="S43" i="4"/>
  <c r="AI43" i="4" s="1"/>
  <c r="T43" i="4"/>
  <c r="AJ43" i="4" s="1"/>
  <c r="U43" i="4"/>
  <c r="AK43" i="4" s="1"/>
  <c r="V43" i="4"/>
  <c r="AL43" i="4" s="1"/>
  <c r="W43" i="4"/>
  <c r="AM43" i="4" s="1"/>
  <c r="X43" i="4"/>
  <c r="AN43" i="4" s="1"/>
  <c r="Y43" i="4"/>
  <c r="AO43" i="4" s="1"/>
  <c r="N43" i="4"/>
  <c r="AD43" i="4" s="1"/>
  <c r="O38" i="4"/>
  <c r="AE38" i="4" s="1"/>
  <c r="P38" i="4"/>
  <c r="AF38" i="4" s="1"/>
  <c r="Q38" i="4"/>
  <c r="AG38" i="4" s="1"/>
  <c r="R38" i="4"/>
  <c r="AH38" i="4" s="1"/>
  <c r="S38" i="4"/>
  <c r="AI38" i="4" s="1"/>
  <c r="T38" i="4"/>
  <c r="AJ38" i="4" s="1"/>
  <c r="U38" i="4"/>
  <c r="AK38" i="4" s="1"/>
  <c r="V38" i="4"/>
  <c r="AL38" i="4" s="1"/>
  <c r="W38" i="4"/>
  <c r="AM38" i="4" s="1"/>
  <c r="X38" i="4"/>
  <c r="AN38" i="4" s="1"/>
  <c r="Y38" i="4"/>
  <c r="AO38" i="4" s="1"/>
  <c r="N38" i="4"/>
  <c r="AD38" i="4" s="1"/>
  <c r="O29" i="4"/>
  <c r="AE29" i="4" s="1"/>
  <c r="P29" i="4"/>
  <c r="AF29" i="4" s="1"/>
  <c r="Q29" i="4"/>
  <c r="AG29" i="4" s="1"/>
  <c r="R29" i="4"/>
  <c r="AH29" i="4" s="1"/>
  <c r="S29" i="4"/>
  <c r="AI29" i="4" s="1"/>
  <c r="T29" i="4"/>
  <c r="AJ29" i="4" s="1"/>
  <c r="U29" i="4"/>
  <c r="AK29" i="4" s="1"/>
  <c r="V29" i="4"/>
  <c r="AL29" i="4" s="1"/>
  <c r="W29" i="4"/>
  <c r="AM29" i="4" s="1"/>
  <c r="X29" i="4"/>
  <c r="AN29" i="4" s="1"/>
  <c r="Y29" i="4"/>
  <c r="AO29" i="4" s="1"/>
  <c r="N29" i="4"/>
  <c r="AD29" i="4" s="1"/>
  <c r="O28" i="4"/>
  <c r="AE28" i="4" s="1"/>
  <c r="P28" i="4"/>
  <c r="AF28" i="4" s="1"/>
  <c r="Q28" i="4"/>
  <c r="AG28" i="4" s="1"/>
  <c r="R28" i="4"/>
  <c r="AH28" i="4" s="1"/>
  <c r="S28" i="4"/>
  <c r="AI28" i="4" s="1"/>
  <c r="T28" i="4"/>
  <c r="AJ28" i="4" s="1"/>
  <c r="U28" i="4"/>
  <c r="AK28" i="4" s="1"/>
  <c r="V28" i="4"/>
  <c r="AL28" i="4" s="1"/>
  <c r="W28" i="4"/>
  <c r="AM28" i="4" s="1"/>
  <c r="X28" i="4"/>
  <c r="AN28" i="4" s="1"/>
  <c r="Y28" i="4"/>
  <c r="AO28" i="4" s="1"/>
  <c r="N28" i="4"/>
  <c r="AD28" i="4" s="1"/>
  <c r="O27" i="4"/>
  <c r="AE27" i="4" s="1"/>
  <c r="P27" i="4"/>
  <c r="AF27" i="4" s="1"/>
  <c r="Q27" i="4"/>
  <c r="AG27" i="4" s="1"/>
  <c r="R27" i="4"/>
  <c r="AH27" i="4" s="1"/>
  <c r="S27" i="4"/>
  <c r="AI27" i="4" s="1"/>
  <c r="T27" i="4"/>
  <c r="AJ27" i="4" s="1"/>
  <c r="U27" i="4"/>
  <c r="AK27" i="4" s="1"/>
  <c r="V27" i="4"/>
  <c r="AL27" i="4" s="1"/>
  <c r="W27" i="4"/>
  <c r="AM27" i="4" s="1"/>
  <c r="X27" i="4"/>
  <c r="AN27" i="4" s="1"/>
  <c r="Y27" i="4"/>
  <c r="AO27" i="4" s="1"/>
  <c r="N27" i="4"/>
  <c r="AD27" i="4" s="1"/>
  <c r="O26" i="4"/>
  <c r="AE26" i="4" s="1"/>
  <c r="P26" i="4"/>
  <c r="AF26" i="4" s="1"/>
  <c r="Q26" i="4"/>
  <c r="AG26" i="4" s="1"/>
  <c r="R26" i="4"/>
  <c r="AH26" i="4" s="1"/>
  <c r="S26" i="4"/>
  <c r="AI26" i="4" s="1"/>
  <c r="T26" i="4"/>
  <c r="AJ26" i="4" s="1"/>
  <c r="U26" i="4"/>
  <c r="AK26" i="4" s="1"/>
  <c r="V26" i="4"/>
  <c r="AL26" i="4" s="1"/>
  <c r="W26" i="4"/>
  <c r="AM26" i="4" s="1"/>
  <c r="X26" i="4"/>
  <c r="AN26" i="4" s="1"/>
  <c r="Y26" i="4"/>
  <c r="AO26" i="4" s="1"/>
  <c r="N26" i="4"/>
  <c r="AD26" i="4" s="1"/>
  <c r="O21" i="4"/>
  <c r="AE21" i="4" s="1"/>
  <c r="P21" i="4"/>
  <c r="AF21" i="4" s="1"/>
  <c r="Q21" i="4"/>
  <c r="AG21" i="4" s="1"/>
  <c r="R21" i="4"/>
  <c r="AH21" i="4" s="1"/>
  <c r="S21" i="4"/>
  <c r="AI21" i="4" s="1"/>
  <c r="T21" i="4"/>
  <c r="AJ21" i="4" s="1"/>
  <c r="U21" i="4"/>
  <c r="AK21" i="4" s="1"/>
  <c r="V21" i="4"/>
  <c r="AL21" i="4" s="1"/>
  <c r="W21" i="4"/>
  <c r="AM21" i="4" s="1"/>
  <c r="X21" i="4"/>
  <c r="AN21" i="4" s="1"/>
  <c r="Y21" i="4"/>
  <c r="AO21" i="4" s="1"/>
  <c r="N21" i="4"/>
  <c r="AD21" i="4" s="1"/>
  <c r="O16" i="4"/>
  <c r="AE16" i="4" s="1"/>
  <c r="P16" i="4"/>
  <c r="AF16" i="4" s="1"/>
  <c r="Q16" i="4"/>
  <c r="AG16" i="4" s="1"/>
  <c r="R16" i="4"/>
  <c r="AH16" i="4" s="1"/>
  <c r="S16" i="4"/>
  <c r="AI16" i="4" s="1"/>
  <c r="T16" i="4"/>
  <c r="AJ16" i="4" s="1"/>
  <c r="U16" i="4"/>
  <c r="AK16" i="4" s="1"/>
  <c r="V16" i="4"/>
  <c r="AL16" i="4" s="1"/>
  <c r="W16" i="4"/>
  <c r="AM16" i="4" s="1"/>
  <c r="X16" i="4"/>
  <c r="AN16" i="4" s="1"/>
  <c r="Y16" i="4"/>
  <c r="AO16" i="4" s="1"/>
  <c r="W139" i="5"/>
  <c r="BC139" i="5" s="1"/>
  <c r="V139" i="5"/>
  <c r="BB139" i="5" s="1"/>
  <c r="C9" i="8"/>
  <c r="CK24" i="9" s="1"/>
  <c r="I70" i="6"/>
  <c r="D71" i="6"/>
  <c r="C69" i="6"/>
  <c r="C68" i="6"/>
  <c r="D39" i="6"/>
  <c r="S8" i="4"/>
  <c r="AI8" i="4" s="1"/>
  <c r="N45" i="4"/>
  <c r="AD45" i="4" s="1"/>
  <c r="E45" i="2"/>
  <c r="C14" i="11"/>
  <c r="D14" i="11"/>
  <c r="E14" i="11"/>
  <c r="F14" i="11"/>
  <c r="G14" i="11"/>
  <c r="H14" i="11"/>
  <c r="C11" i="12"/>
  <c r="C18" i="12" s="1"/>
  <c r="S150" i="1" s="1"/>
  <c r="S151" i="1" s="1"/>
  <c r="D11" i="12"/>
  <c r="E11" i="12"/>
  <c r="C17" i="12"/>
  <c r="E83" i="2" s="1"/>
  <c r="E115" i="2" s="1"/>
  <c r="D17" i="12"/>
  <c r="Z25" i="2" s="1"/>
  <c r="E17" i="12"/>
  <c r="E18" i="12" s="1"/>
  <c r="G6" i="9"/>
  <c r="DC6" i="9" s="1"/>
  <c r="U6" i="9"/>
  <c r="DG6" i="9" s="1"/>
  <c r="AI6" i="9"/>
  <c r="DK6" i="9" s="1"/>
  <c r="EK29" i="9" s="1"/>
  <c r="AW6" i="9"/>
  <c r="DO6" i="9" s="1"/>
  <c r="BK6" i="9"/>
  <c r="DS6" i="9" s="1"/>
  <c r="BY6" i="9"/>
  <c r="DW6" i="9" s="1"/>
  <c r="G9" i="9"/>
  <c r="K9" i="9"/>
  <c r="H9" i="9"/>
  <c r="L9" i="9"/>
  <c r="I9" i="9"/>
  <c r="M9" i="9"/>
  <c r="U9" i="9"/>
  <c r="Y9" i="9"/>
  <c r="V9" i="9"/>
  <c r="Z9" i="9"/>
  <c r="W9" i="9"/>
  <c r="AA9" i="9"/>
  <c r="AI9" i="9"/>
  <c r="AM9" i="9"/>
  <c r="AJ9" i="9"/>
  <c r="AN9" i="9"/>
  <c r="AK9" i="9"/>
  <c r="AO9" i="9"/>
  <c r="AW9" i="9"/>
  <c r="BA9" i="9"/>
  <c r="AX9" i="9"/>
  <c r="BB9" i="9"/>
  <c r="AY9" i="9"/>
  <c r="BC9" i="9" s="1"/>
  <c r="BK9" i="9"/>
  <c r="BO9" i="9"/>
  <c r="BL9" i="9"/>
  <c r="BP9" i="9" s="1"/>
  <c r="BM9" i="9"/>
  <c r="BQ9" i="9"/>
  <c r="BY9" i="9"/>
  <c r="BZ9" i="9"/>
  <c r="CD9" i="9" s="1"/>
  <c r="CA9" i="9"/>
  <c r="CE9" i="9" s="1"/>
  <c r="CC9" i="9"/>
  <c r="CM9" i="9"/>
  <c r="CQ9" i="9" s="1"/>
  <c r="CN9" i="9"/>
  <c r="CR9" i="9" s="1"/>
  <c r="CO9" i="9"/>
  <c r="CS9" i="9" s="1"/>
  <c r="G10" i="9"/>
  <c r="K10" i="9" s="1"/>
  <c r="H10" i="9"/>
  <c r="L10" i="9" s="1"/>
  <c r="I10" i="9"/>
  <c r="M10" i="9" s="1"/>
  <c r="U10" i="9"/>
  <c r="Y10" i="9" s="1"/>
  <c r="V10" i="9"/>
  <c r="Z10" i="9" s="1"/>
  <c r="W10" i="9"/>
  <c r="AA10" i="9" s="1"/>
  <c r="AI10" i="9"/>
  <c r="AM10" i="9" s="1"/>
  <c r="AJ10" i="9"/>
  <c r="AN10" i="9" s="1"/>
  <c r="AK10" i="9"/>
  <c r="AO10" i="9" s="1"/>
  <c r="AW10" i="9"/>
  <c r="BA10" i="9" s="1"/>
  <c r="AX10" i="9"/>
  <c r="BB10" i="9" s="1"/>
  <c r="AY10" i="9"/>
  <c r="BC10" i="9" s="1"/>
  <c r="BK10" i="9"/>
  <c r="BO10" i="9" s="1"/>
  <c r="BL10" i="9"/>
  <c r="BP10" i="9" s="1"/>
  <c r="BM10" i="9"/>
  <c r="BQ10" i="9" s="1"/>
  <c r="BY10" i="9"/>
  <c r="CC10" i="9" s="1"/>
  <c r="BZ10" i="9"/>
  <c r="CD10" i="9" s="1"/>
  <c r="CA10" i="9"/>
  <c r="CE10" i="9" s="1"/>
  <c r="CM10" i="9"/>
  <c r="CQ10" i="9" s="1"/>
  <c r="CN10" i="9"/>
  <c r="CO10" i="9"/>
  <c r="CS10" i="9" s="1"/>
  <c r="CR10" i="9"/>
  <c r="I11" i="9"/>
  <c r="DC8" i="9" s="1"/>
  <c r="W11" i="9"/>
  <c r="AK11" i="9"/>
  <c r="AY11" i="9"/>
  <c r="AY23" i="9" s="1"/>
  <c r="BM11" i="9"/>
  <c r="BN11" i="9" s="1"/>
  <c r="CA11" i="9"/>
  <c r="CM11" i="9"/>
  <c r="I12" i="9"/>
  <c r="DC9" i="9" s="1"/>
  <c r="W12" i="9"/>
  <c r="AK12" i="9"/>
  <c r="AL12" i="9"/>
  <c r="AY12" i="9"/>
  <c r="AZ12" i="9" s="1"/>
  <c r="BM12" i="9"/>
  <c r="DS9" i="9" s="1"/>
  <c r="CA12" i="9"/>
  <c r="CB12" i="9" s="1"/>
  <c r="CM12" i="9"/>
  <c r="I13" i="9"/>
  <c r="DC10" i="9" s="1"/>
  <c r="W13" i="9"/>
  <c r="W23" i="9" s="1"/>
  <c r="AK13" i="9"/>
  <c r="DK10" i="9" s="1"/>
  <c r="AY13" i="9"/>
  <c r="DO10" i="9" s="1"/>
  <c r="BM13" i="9"/>
  <c r="DS10" i="9" s="1"/>
  <c r="CA13" i="9"/>
  <c r="CM13" i="9"/>
  <c r="I14" i="9"/>
  <c r="DC11" i="9" s="1"/>
  <c r="W14" i="9"/>
  <c r="DG11" i="9" s="1"/>
  <c r="AK14" i="9"/>
  <c r="AK23" i="9" s="1"/>
  <c r="AK25" i="9" s="1"/>
  <c r="AY14" i="9"/>
  <c r="AZ14" i="9" s="1"/>
  <c r="BM14" i="9"/>
  <c r="DS11" i="9" s="1"/>
  <c r="CA14" i="9"/>
  <c r="CA23" i="9" s="1"/>
  <c r="CM14" i="9"/>
  <c r="I15" i="9"/>
  <c r="DC12" i="9" s="1"/>
  <c r="W15" i="9"/>
  <c r="DG12" i="9" s="1"/>
  <c r="AK15" i="9"/>
  <c r="AY15" i="9"/>
  <c r="AZ15" i="9" s="1"/>
  <c r="BM15" i="9"/>
  <c r="DS12" i="9" s="1"/>
  <c r="CA15" i="9"/>
  <c r="DW12" i="9" s="1"/>
  <c r="CB15" i="9"/>
  <c r="CM15" i="9"/>
  <c r="CN15" i="9" s="1"/>
  <c r="I16" i="9"/>
  <c r="W16" i="9"/>
  <c r="AK16" i="9"/>
  <c r="DK13" i="9" s="1"/>
  <c r="AY16" i="9"/>
  <c r="DO13" i="9" s="1"/>
  <c r="BM16" i="9"/>
  <c r="DS13" i="9" s="1"/>
  <c r="CA16" i="9"/>
  <c r="CB16" i="9" s="1"/>
  <c r="CM16" i="9"/>
  <c r="CN16" i="9" s="1"/>
  <c r="I17" i="9"/>
  <c r="DC14" i="9" s="1"/>
  <c r="W17" i="9"/>
  <c r="DG14" i="9" s="1"/>
  <c r="AK17" i="9"/>
  <c r="DK14" i="9" s="1"/>
  <c r="AY17" i="9"/>
  <c r="AZ17" i="9" s="1"/>
  <c r="BM17" i="9"/>
  <c r="DS14" i="9" s="1"/>
  <c r="CA17" i="9"/>
  <c r="CB17" i="9" s="1"/>
  <c r="CM17" i="9"/>
  <c r="CN17" i="9" s="1"/>
  <c r="I18" i="9"/>
  <c r="DC15" i="9" s="1"/>
  <c r="J18" i="9"/>
  <c r="W18" i="9"/>
  <c r="AK18" i="9"/>
  <c r="AY18" i="9"/>
  <c r="DO15" i="9"/>
  <c r="BM18" i="9"/>
  <c r="CA18" i="9"/>
  <c r="DW15" i="9" s="1"/>
  <c r="CM18" i="9"/>
  <c r="CN18" i="9" s="1"/>
  <c r="I19" i="9"/>
  <c r="DC16" i="9" s="1"/>
  <c r="W19" i="9"/>
  <c r="AK19" i="9"/>
  <c r="AL19" i="9" s="1"/>
  <c r="AY19" i="9"/>
  <c r="DO16" i="9" s="1"/>
  <c r="BM19" i="9"/>
  <c r="DS16" i="9" s="1"/>
  <c r="CA19" i="9"/>
  <c r="DW16" i="9" s="1"/>
  <c r="CM19" i="9"/>
  <c r="I20" i="9"/>
  <c r="DC17" i="9" s="1"/>
  <c r="W20" i="9"/>
  <c r="DG17" i="9" s="1"/>
  <c r="AK20" i="9"/>
  <c r="AL20" i="9" s="1"/>
  <c r="AY20" i="9"/>
  <c r="DO17" i="9" s="1"/>
  <c r="BM20" i="9"/>
  <c r="DS17" i="9" s="1"/>
  <c r="CA20" i="9"/>
  <c r="CB20" i="9" s="1"/>
  <c r="CM20" i="9"/>
  <c r="I21" i="9"/>
  <c r="DC18" i="9" s="1"/>
  <c r="W21" i="9"/>
  <c r="CO21" i="9" s="1"/>
  <c r="AK21" i="9"/>
  <c r="AL21" i="9" s="1"/>
  <c r="AY21" i="9"/>
  <c r="DO18" i="9" s="1"/>
  <c r="BM21" i="9"/>
  <c r="BN21" i="9" s="1"/>
  <c r="CA21" i="9"/>
  <c r="CM21" i="9"/>
  <c r="I22" i="9"/>
  <c r="J22" i="9" s="1"/>
  <c r="W22" i="9"/>
  <c r="CO22" i="9" s="1"/>
  <c r="AK22" i="9"/>
  <c r="AL22" i="9" s="1"/>
  <c r="AY22" i="9"/>
  <c r="AZ22" i="9" s="1"/>
  <c r="BM22" i="9"/>
  <c r="BN22" i="9" s="1"/>
  <c r="CA22" i="9"/>
  <c r="DW19" i="9" s="1"/>
  <c r="CB22" i="9"/>
  <c r="CM22" i="9"/>
  <c r="G23" i="9"/>
  <c r="U23" i="9"/>
  <c r="AI23" i="9"/>
  <c r="AJ23" i="9" s="1"/>
  <c r="AW23" i="9"/>
  <c r="BK23" i="9"/>
  <c r="BY23" i="9"/>
  <c r="BZ23" i="9"/>
  <c r="E24" i="9"/>
  <c r="M24" i="9" s="1"/>
  <c r="N24" i="9" s="1"/>
  <c r="S24" i="9"/>
  <c r="AG24" i="9"/>
  <c r="AO24" i="9" s="1"/>
  <c r="AP24" i="9" s="1"/>
  <c r="AU24" i="9"/>
  <c r="BC24" i="9" s="1"/>
  <c r="BD24" i="9" s="1"/>
  <c r="BI24" i="9"/>
  <c r="BQ24" i="9" s="1"/>
  <c r="BR24" i="9" s="1"/>
  <c r="BW24" i="9"/>
  <c r="CE24" i="9" s="1"/>
  <c r="CF24" i="9" s="1"/>
  <c r="CO24" i="9"/>
  <c r="EE29" i="9"/>
  <c r="CM32" i="9"/>
  <c r="CM33" i="9"/>
  <c r="CM38" i="9"/>
  <c r="CN43" i="9"/>
  <c r="CN44" i="9"/>
  <c r="CN45" i="9"/>
  <c r="CN46" i="9"/>
  <c r="CN47" i="9"/>
  <c r="CN48" i="9"/>
  <c r="I49" i="9"/>
  <c r="DC25" i="9" s="1"/>
  <c r="W49" i="9"/>
  <c r="DG25" i="9"/>
  <c r="AK49" i="9"/>
  <c r="AY49" i="9"/>
  <c r="DO25" i="9" s="1"/>
  <c r="BM49" i="9"/>
  <c r="DS25" i="9" s="1"/>
  <c r="CA49" i="9"/>
  <c r="DW25" i="9" s="1"/>
  <c r="CN54" i="9"/>
  <c r="CN55" i="9"/>
  <c r="CN56" i="9"/>
  <c r="I57" i="9"/>
  <c r="DC26" i="9" s="1"/>
  <c r="W57" i="9"/>
  <c r="DG26" i="9" s="1"/>
  <c r="AK57" i="9"/>
  <c r="DK26" i="9" s="1"/>
  <c r="AY57" i="9"/>
  <c r="DO26" i="9" s="1"/>
  <c r="DS26" i="9"/>
  <c r="CA57" i="9"/>
  <c r="DW26" i="9" s="1"/>
  <c r="ED61" i="9"/>
  <c r="ED93" i="9" s="1"/>
  <c r="E6" i="8"/>
  <c r="AG6" i="8" s="1"/>
  <c r="G6" i="8"/>
  <c r="I6" i="8"/>
  <c r="I22" i="8" s="1"/>
  <c r="I39" i="8" s="1"/>
  <c r="N15" i="12" s="1"/>
  <c r="K6" i="8"/>
  <c r="AJ6" i="8" s="1"/>
  <c r="M6" i="8"/>
  <c r="AK6" i="8" s="1"/>
  <c r="O6" i="8"/>
  <c r="D6" i="6"/>
  <c r="D32" i="6" s="1"/>
  <c r="M32" i="6" s="1"/>
  <c r="M59" i="6" s="1"/>
  <c r="E6" i="6"/>
  <c r="E32" i="6" s="1"/>
  <c r="E59" i="6" s="1"/>
  <c r="E83" i="6" s="1"/>
  <c r="F6" i="6"/>
  <c r="O6" i="6" s="1"/>
  <c r="X5" i="6" s="1"/>
  <c r="AF26" i="6" s="1"/>
  <c r="G6" i="6"/>
  <c r="G32" i="6" s="1"/>
  <c r="P32" i="6" s="1"/>
  <c r="P59" i="6" s="1"/>
  <c r="H6" i="6"/>
  <c r="Q6" i="6" s="1"/>
  <c r="Z5" i="6" s="1"/>
  <c r="AF49" i="6" s="1"/>
  <c r="I6" i="6"/>
  <c r="I32" i="6" s="1"/>
  <c r="J8" i="6"/>
  <c r="J9" i="6"/>
  <c r="J10" i="6"/>
  <c r="J12" i="6"/>
  <c r="J13" i="6"/>
  <c r="J14" i="6"/>
  <c r="J16" i="6"/>
  <c r="J17" i="6"/>
  <c r="J19" i="6"/>
  <c r="J20" i="6"/>
  <c r="J22" i="6"/>
  <c r="J23" i="6"/>
  <c r="J25" i="6"/>
  <c r="J26" i="6"/>
  <c r="J27" i="6"/>
  <c r="J28" i="6"/>
  <c r="C29" i="6"/>
  <c r="D29" i="6"/>
  <c r="E29" i="6"/>
  <c r="F29" i="6"/>
  <c r="G29" i="6"/>
  <c r="H29" i="6"/>
  <c r="I29" i="6"/>
  <c r="J35" i="6"/>
  <c r="J36" i="6"/>
  <c r="J37" i="6"/>
  <c r="J38" i="6"/>
  <c r="C39" i="6"/>
  <c r="E39" i="6"/>
  <c r="F39" i="6"/>
  <c r="G39" i="6"/>
  <c r="H39" i="6"/>
  <c r="I39" i="6"/>
  <c r="C41" i="6"/>
  <c r="D41" i="6"/>
  <c r="E41" i="6"/>
  <c r="F41" i="6"/>
  <c r="G41" i="6"/>
  <c r="H41" i="6"/>
  <c r="I41" i="6"/>
  <c r="C42" i="6"/>
  <c r="D42" i="6"/>
  <c r="E42" i="6"/>
  <c r="F42" i="6"/>
  <c r="G42" i="6"/>
  <c r="H42" i="6"/>
  <c r="I42" i="6"/>
  <c r="C43" i="6"/>
  <c r="D43" i="6"/>
  <c r="E43" i="6"/>
  <c r="F43" i="6"/>
  <c r="G43" i="6"/>
  <c r="H43" i="6"/>
  <c r="I43" i="6"/>
  <c r="C44" i="6"/>
  <c r="D44" i="6"/>
  <c r="E44" i="6"/>
  <c r="F44" i="6"/>
  <c r="G44" i="6"/>
  <c r="H44" i="6"/>
  <c r="I44" i="6"/>
  <c r="J48" i="6"/>
  <c r="J49" i="6"/>
  <c r="J50" i="6"/>
  <c r="J51" i="6"/>
  <c r="C52" i="6"/>
  <c r="D52" i="6"/>
  <c r="E52" i="6"/>
  <c r="F52" i="6"/>
  <c r="F79" i="6"/>
  <c r="G52" i="6"/>
  <c r="H52" i="6"/>
  <c r="I52" i="6"/>
  <c r="I79" i="6" s="1"/>
  <c r="J62" i="6"/>
  <c r="J63" i="6"/>
  <c r="J64" i="6"/>
  <c r="J65" i="6"/>
  <c r="C66" i="6"/>
  <c r="D66" i="6"/>
  <c r="E66" i="6"/>
  <c r="F66" i="6"/>
  <c r="G66" i="6"/>
  <c r="H66" i="6"/>
  <c r="I66" i="6"/>
  <c r="D68" i="6"/>
  <c r="E68" i="6"/>
  <c r="F68" i="6"/>
  <c r="G68" i="6"/>
  <c r="H68" i="6"/>
  <c r="I68" i="6"/>
  <c r="D69" i="6"/>
  <c r="E69" i="6"/>
  <c r="F69" i="6"/>
  <c r="G69" i="6"/>
  <c r="H69" i="6"/>
  <c r="I69" i="6"/>
  <c r="D70" i="6"/>
  <c r="E70" i="6"/>
  <c r="F70" i="6"/>
  <c r="G70" i="6"/>
  <c r="H70" i="6"/>
  <c r="C71" i="6"/>
  <c r="E71" i="6"/>
  <c r="F71" i="6"/>
  <c r="G71" i="6"/>
  <c r="H71" i="6"/>
  <c r="I71" i="6"/>
  <c r="E79" i="6"/>
  <c r="G79" i="6"/>
  <c r="J85" i="6"/>
  <c r="J86" i="6"/>
  <c r="J87" i="6"/>
  <c r="J89" i="6"/>
  <c r="C90" i="6"/>
  <c r="D90" i="6"/>
  <c r="E90" i="6"/>
  <c r="F90" i="6"/>
  <c r="G90" i="6"/>
  <c r="H90" i="6"/>
  <c r="I90" i="6"/>
  <c r="M6" i="4"/>
  <c r="N6" i="4"/>
  <c r="O6" i="4"/>
  <c r="P6" i="4"/>
  <c r="Q6" i="4"/>
  <c r="R6" i="4"/>
  <c r="S6" i="4"/>
  <c r="U6" i="4"/>
  <c r="V6" i="4"/>
  <c r="W6" i="4"/>
  <c r="X6" i="4"/>
  <c r="Y6" i="4"/>
  <c r="M7" i="4"/>
  <c r="N7" i="4"/>
  <c r="O7" i="4"/>
  <c r="P7" i="4"/>
  <c r="Q7" i="4"/>
  <c r="R7" i="4"/>
  <c r="S7" i="4"/>
  <c r="T7" i="4"/>
  <c r="U7" i="4"/>
  <c r="V7" i="4"/>
  <c r="W7" i="4"/>
  <c r="X7" i="4"/>
  <c r="Y7" i="4"/>
  <c r="N8" i="4"/>
  <c r="AD8" i="4" s="1"/>
  <c r="O8" i="4"/>
  <c r="AE8" i="4" s="1"/>
  <c r="P8" i="4"/>
  <c r="AF8" i="4" s="1"/>
  <c r="Q8" i="4"/>
  <c r="AG8" i="4" s="1"/>
  <c r="R8" i="4"/>
  <c r="AH8" i="4" s="1"/>
  <c r="T8" i="4"/>
  <c r="AJ8" i="4" s="1"/>
  <c r="U8" i="4"/>
  <c r="AK8" i="4" s="1"/>
  <c r="V8" i="4"/>
  <c r="AL8" i="4" s="1"/>
  <c r="W8" i="4"/>
  <c r="AM8" i="4" s="1"/>
  <c r="X8" i="4"/>
  <c r="AN8" i="4" s="1"/>
  <c r="Y8" i="4"/>
  <c r="AO8" i="4" s="1"/>
  <c r="M10" i="4"/>
  <c r="N10" i="4"/>
  <c r="O10" i="4"/>
  <c r="P10" i="4"/>
  <c r="Q10" i="4"/>
  <c r="R10" i="4"/>
  <c r="S10" i="4"/>
  <c r="U10" i="4"/>
  <c r="V10" i="4"/>
  <c r="W10" i="4"/>
  <c r="X10" i="4"/>
  <c r="Y10" i="4"/>
  <c r="M11" i="4"/>
  <c r="N11" i="4"/>
  <c r="O11" i="4"/>
  <c r="P11" i="4"/>
  <c r="Q11" i="4"/>
  <c r="R11" i="4"/>
  <c r="S11" i="4"/>
  <c r="T11" i="4"/>
  <c r="U11" i="4"/>
  <c r="V11" i="4"/>
  <c r="W11" i="4"/>
  <c r="X11" i="4"/>
  <c r="Y11" i="4"/>
  <c r="N12" i="4"/>
  <c r="AD12" i="4" s="1"/>
  <c r="O12" i="4"/>
  <c r="AE12" i="4" s="1"/>
  <c r="P12" i="4"/>
  <c r="AF12" i="4" s="1"/>
  <c r="Q12" i="4"/>
  <c r="AG12" i="4" s="1"/>
  <c r="R12" i="4"/>
  <c r="AH12" i="4" s="1"/>
  <c r="S12" i="4"/>
  <c r="AI12" i="4" s="1"/>
  <c r="T12" i="4"/>
  <c r="AJ12" i="4" s="1"/>
  <c r="U12" i="4"/>
  <c r="AK12" i="4" s="1"/>
  <c r="V12" i="4"/>
  <c r="AL12" i="4" s="1"/>
  <c r="W12" i="4"/>
  <c r="AM12" i="4" s="1"/>
  <c r="X12" i="4"/>
  <c r="AN12" i="4" s="1"/>
  <c r="Y12" i="4"/>
  <c r="AO12" i="4" s="1"/>
  <c r="M14" i="4"/>
  <c r="N14" i="4"/>
  <c r="O14" i="4"/>
  <c r="P14" i="4"/>
  <c r="Q14" i="4"/>
  <c r="R14" i="4"/>
  <c r="S14" i="4"/>
  <c r="U14" i="4"/>
  <c r="V14" i="4"/>
  <c r="W14" i="4"/>
  <c r="X14" i="4"/>
  <c r="Y14" i="4"/>
  <c r="M15" i="4"/>
  <c r="N15" i="4"/>
  <c r="O15" i="4"/>
  <c r="P15" i="4"/>
  <c r="Q15" i="4"/>
  <c r="R15" i="4"/>
  <c r="S15" i="4"/>
  <c r="T15" i="4"/>
  <c r="U15" i="4"/>
  <c r="V15" i="4"/>
  <c r="W15" i="4"/>
  <c r="X15" i="4"/>
  <c r="Y15" i="4"/>
  <c r="N17" i="4"/>
  <c r="AD17" i="4" s="1"/>
  <c r="O17" i="4"/>
  <c r="AE17" i="4" s="1"/>
  <c r="P17" i="4"/>
  <c r="AF17" i="4" s="1"/>
  <c r="Q17" i="4"/>
  <c r="R17" i="4"/>
  <c r="AH17" i="4" s="1"/>
  <c r="S17" i="4"/>
  <c r="AI17" i="4" s="1"/>
  <c r="T17" i="4"/>
  <c r="AJ17" i="4" s="1"/>
  <c r="U17" i="4"/>
  <c r="AK17" i="4" s="1"/>
  <c r="V17" i="4"/>
  <c r="AL17" i="4" s="1"/>
  <c r="W17" i="4"/>
  <c r="AM17" i="4" s="1"/>
  <c r="X17" i="4"/>
  <c r="AN17" i="4" s="1"/>
  <c r="Y17" i="4"/>
  <c r="AO17" i="4" s="1"/>
  <c r="M19" i="4"/>
  <c r="N19" i="4"/>
  <c r="O19" i="4"/>
  <c r="P19" i="4"/>
  <c r="Q19" i="4"/>
  <c r="R19" i="4"/>
  <c r="S19" i="4"/>
  <c r="U19" i="4"/>
  <c r="V19" i="4"/>
  <c r="W19" i="4"/>
  <c r="X19" i="4"/>
  <c r="Y19" i="4"/>
  <c r="M20" i="4"/>
  <c r="N20" i="4"/>
  <c r="O20" i="4"/>
  <c r="P20" i="4"/>
  <c r="Q20" i="4"/>
  <c r="R20" i="4"/>
  <c r="S20" i="4"/>
  <c r="T20" i="4"/>
  <c r="U20" i="4"/>
  <c r="V20" i="4"/>
  <c r="W20" i="4"/>
  <c r="X20" i="4"/>
  <c r="Y20" i="4"/>
  <c r="N22" i="4"/>
  <c r="AD22" i="4" s="1"/>
  <c r="O22" i="4"/>
  <c r="AE22" i="4" s="1"/>
  <c r="P22" i="4"/>
  <c r="AF22" i="4" s="1"/>
  <c r="Q22" i="4"/>
  <c r="AG22" i="4" s="1"/>
  <c r="R22" i="4"/>
  <c r="AH22" i="4" s="1"/>
  <c r="S22" i="4"/>
  <c r="AI22" i="4" s="1"/>
  <c r="T22" i="4"/>
  <c r="AJ22" i="4" s="1"/>
  <c r="U22" i="4"/>
  <c r="AK22" i="4" s="1"/>
  <c r="V22" i="4"/>
  <c r="AL22" i="4" s="1"/>
  <c r="W22" i="4"/>
  <c r="AM22" i="4" s="1"/>
  <c r="X22" i="4"/>
  <c r="AN22" i="4" s="1"/>
  <c r="Y22" i="4"/>
  <c r="AO22" i="4" s="1"/>
  <c r="M24" i="4"/>
  <c r="N24" i="4"/>
  <c r="O24" i="4"/>
  <c r="P24" i="4"/>
  <c r="Q24" i="4"/>
  <c r="R24" i="4"/>
  <c r="S24" i="4"/>
  <c r="U24" i="4"/>
  <c r="V24" i="4"/>
  <c r="W24" i="4"/>
  <c r="X24" i="4"/>
  <c r="Y24" i="4"/>
  <c r="M25" i="4"/>
  <c r="N25" i="4"/>
  <c r="O25" i="4"/>
  <c r="P25" i="4"/>
  <c r="Q25" i="4"/>
  <c r="R25" i="4"/>
  <c r="S25" i="4"/>
  <c r="T25" i="4"/>
  <c r="U25" i="4"/>
  <c r="V25" i="4"/>
  <c r="W25" i="4"/>
  <c r="X25" i="4"/>
  <c r="Y25" i="4"/>
  <c r="N30" i="4"/>
  <c r="AD30" i="4" s="1"/>
  <c r="O30" i="4"/>
  <c r="AE30" i="4" s="1"/>
  <c r="P30" i="4"/>
  <c r="AF30" i="4" s="1"/>
  <c r="Q30" i="4"/>
  <c r="AG30" i="4" s="1"/>
  <c r="R30" i="4"/>
  <c r="AH30" i="4" s="1"/>
  <c r="S30" i="4"/>
  <c r="AI30" i="4" s="1"/>
  <c r="T30" i="4"/>
  <c r="AJ30" i="4" s="1"/>
  <c r="U30" i="4"/>
  <c r="AK30" i="4" s="1"/>
  <c r="V30" i="4"/>
  <c r="AL30" i="4" s="1"/>
  <c r="W30" i="4"/>
  <c r="AM30" i="4" s="1"/>
  <c r="X30" i="4"/>
  <c r="AN30" i="4" s="1"/>
  <c r="Y30" i="4"/>
  <c r="AO30" i="4" s="1"/>
  <c r="N31" i="4"/>
  <c r="AD31" i="4" s="1"/>
  <c r="O31" i="4"/>
  <c r="AE31" i="4" s="1"/>
  <c r="P31" i="4"/>
  <c r="AF31" i="4" s="1"/>
  <c r="Q31" i="4"/>
  <c r="AG31" i="4" s="1"/>
  <c r="R31" i="4"/>
  <c r="AH31" i="4" s="1"/>
  <c r="S31" i="4"/>
  <c r="AI31" i="4" s="1"/>
  <c r="T31" i="4"/>
  <c r="AJ31" i="4" s="1"/>
  <c r="U31" i="4"/>
  <c r="AK31" i="4" s="1"/>
  <c r="V31" i="4"/>
  <c r="AL31" i="4" s="1"/>
  <c r="W31" i="4"/>
  <c r="AM31" i="4" s="1"/>
  <c r="X31" i="4"/>
  <c r="AN31" i="4" s="1"/>
  <c r="Y31" i="4"/>
  <c r="AO31" i="4" s="1"/>
  <c r="N32" i="4"/>
  <c r="AD32" i="4" s="1"/>
  <c r="O32" i="4"/>
  <c r="AE32" i="4" s="1"/>
  <c r="P32" i="4"/>
  <c r="Q32" i="4"/>
  <c r="AG32" i="4" s="1"/>
  <c r="R32" i="4"/>
  <c r="AH32" i="4" s="1"/>
  <c r="S32" i="4"/>
  <c r="AI32" i="4" s="1"/>
  <c r="T32" i="4"/>
  <c r="AJ32" i="4" s="1"/>
  <c r="U32" i="4"/>
  <c r="AK32" i="4" s="1"/>
  <c r="V32" i="4"/>
  <c r="AL32" i="4" s="1"/>
  <c r="W32" i="4"/>
  <c r="AM32" i="4" s="1"/>
  <c r="X32" i="4"/>
  <c r="AN32" i="4" s="1"/>
  <c r="Y32" i="4"/>
  <c r="AO32" i="4" s="1"/>
  <c r="N33" i="4"/>
  <c r="AD33" i="4" s="1"/>
  <c r="O33" i="4"/>
  <c r="P33" i="4"/>
  <c r="AF33" i="4" s="1"/>
  <c r="Q33" i="4"/>
  <c r="AG33" i="4" s="1"/>
  <c r="R33" i="4"/>
  <c r="AH33" i="4" s="1"/>
  <c r="S33" i="4"/>
  <c r="AI33" i="4" s="1"/>
  <c r="T33" i="4"/>
  <c r="AJ33" i="4" s="1"/>
  <c r="U33" i="4"/>
  <c r="AK33" i="4" s="1"/>
  <c r="V33" i="4"/>
  <c r="AL33" i="4" s="1"/>
  <c r="W33" i="4"/>
  <c r="AM33" i="4" s="1"/>
  <c r="X33" i="4"/>
  <c r="AN33" i="4" s="1"/>
  <c r="Y33" i="4"/>
  <c r="AO33" i="4" s="1"/>
  <c r="N34" i="4"/>
  <c r="AD34" i="4" s="1"/>
  <c r="O34" i="4"/>
  <c r="AE34" i="4" s="1"/>
  <c r="P34" i="4"/>
  <c r="AF34" i="4" s="1"/>
  <c r="Q34" i="4"/>
  <c r="AG34" i="4" s="1"/>
  <c r="R34" i="4"/>
  <c r="AH34" i="4" s="1"/>
  <c r="S34" i="4"/>
  <c r="AI34" i="4" s="1"/>
  <c r="T34" i="4"/>
  <c r="AJ34" i="4" s="1"/>
  <c r="U34" i="4"/>
  <c r="AK34" i="4" s="1"/>
  <c r="V34" i="4"/>
  <c r="AL34" i="4" s="1"/>
  <c r="W34" i="4"/>
  <c r="AM34" i="4" s="1"/>
  <c r="X34" i="4"/>
  <c r="AN34" i="4" s="1"/>
  <c r="Y34" i="4"/>
  <c r="AO34" i="4" s="1"/>
  <c r="M36" i="4"/>
  <c r="N36" i="4"/>
  <c r="O36" i="4"/>
  <c r="P36" i="4"/>
  <c r="Q36" i="4"/>
  <c r="R36" i="4"/>
  <c r="S36" i="4"/>
  <c r="U36" i="4"/>
  <c r="V36" i="4"/>
  <c r="W36" i="4"/>
  <c r="X36" i="4"/>
  <c r="Y36" i="4"/>
  <c r="M37" i="4"/>
  <c r="N37" i="4"/>
  <c r="O37" i="4"/>
  <c r="P37" i="4"/>
  <c r="Q37" i="4"/>
  <c r="R37" i="4"/>
  <c r="S37" i="4"/>
  <c r="T37" i="4"/>
  <c r="U37" i="4"/>
  <c r="V37" i="4"/>
  <c r="W37" i="4"/>
  <c r="X37" i="4"/>
  <c r="Y37" i="4"/>
  <c r="N39" i="4"/>
  <c r="AD39" i="4" s="1"/>
  <c r="O39" i="4"/>
  <c r="AE39" i="4" s="1"/>
  <c r="P39" i="4"/>
  <c r="AF39" i="4" s="1"/>
  <c r="Q39" i="4"/>
  <c r="AG39" i="4" s="1"/>
  <c r="R39" i="4"/>
  <c r="AH39" i="4" s="1"/>
  <c r="S39" i="4"/>
  <c r="AI39" i="4" s="1"/>
  <c r="T39" i="4"/>
  <c r="AJ39" i="4" s="1"/>
  <c r="U39" i="4"/>
  <c r="AK39" i="4" s="1"/>
  <c r="V39" i="4"/>
  <c r="AL39" i="4" s="1"/>
  <c r="W39" i="4"/>
  <c r="AM39" i="4" s="1"/>
  <c r="X39" i="4"/>
  <c r="AN39" i="4" s="1"/>
  <c r="Y39" i="4"/>
  <c r="AO39" i="4" s="1"/>
  <c r="M41" i="4"/>
  <c r="N41" i="4"/>
  <c r="O41" i="4"/>
  <c r="P41" i="4"/>
  <c r="Q41" i="4"/>
  <c r="R41" i="4"/>
  <c r="S41" i="4"/>
  <c r="U41" i="4"/>
  <c r="V41" i="4"/>
  <c r="W41" i="4"/>
  <c r="X41" i="4"/>
  <c r="Y41" i="4"/>
  <c r="M42" i="4"/>
  <c r="N42" i="4"/>
  <c r="O42" i="4"/>
  <c r="P42" i="4"/>
  <c r="Q42" i="4"/>
  <c r="R42" i="4"/>
  <c r="S42" i="4"/>
  <c r="T42" i="4"/>
  <c r="U42" i="4"/>
  <c r="V42" i="4"/>
  <c r="W42" i="4"/>
  <c r="X42" i="4"/>
  <c r="Y42" i="4"/>
  <c r="N44" i="4"/>
  <c r="AD44" i="4" s="1"/>
  <c r="AD72" i="4" s="1"/>
  <c r="O44" i="4"/>
  <c r="AE44" i="4" s="1"/>
  <c r="AE72" i="4" s="1"/>
  <c r="P44" i="4"/>
  <c r="AF44" i="4" s="1"/>
  <c r="AF72" i="4" s="1"/>
  <c r="Q44" i="4"/>
  <c r="AG44" i="4" s="1"/>
  <c r="AG72" i="4" s="1"/>
  <c r="R44" i="4"/>
  <c r="AH44" i="4" s="1"/>
  <c r="AH72" i="4" s="1"/>
  <c r="S44" i="4"/>
  <c r="AI44" i="4" s="1"/>
  <c r="AI72" i="4" s="1"/>
  <c r="T44" i="4"/>
  <c r="AJ44" i="4" s="1"/>
  <c r="U44" i="4"/>
  <c r="AK44" i="4" s="1"/>
  <c r="AK72" i="4" s="1"/>
  <c r="V44" i="4"/>
  <c r="AL44" i="4" s="1"/>
  <c r="AL72" i="4" s="1"/>
  <c r="W44" i="4"/>
  <c r="AM44" i="4" s="1"/>
  <c r="AM72" i="4" s="1"/>
  <c r="X44" i="4"/>
  <c r="AN44" i="4" s="1"/>
  <c r="AN72" i="4" s="1"/>
  <c r="Y44" i="4"/>
  <c r="AO44" i="4" s="1"/>
  <c r="AO72" i="4" s="1"/>
  <c r="O45" i="4"/>
  <c r="AE45" i="4" s="1"/>
  <c r="P45" i="4"/>
  <c r="AF45" i="4" s="1"/>
  <c r="Q45" i="4"/>
  <c r="AG45" i="4" s="1"/>
  <c r="R45" i="4"/>
  <c r="AH45" i="4" s="1"/>
  <c r="S45" i="4"/>
  <c r="AI45" i="4" s="1"/>
  <c r="T45" i="4"/>
  <c r="AJ45" i="4" s="1"/>
  <c r="U45" i="4"/>
  <c r="AK45" i="4" s="1"/>
  <c r="V45" i="4"/>
  <c r="AL45" i="4" s="1"/>
  <c r="W45" i="4"/>
  <c r="AM45" i="4" s="1"/>
  <c r="X45" i="4"/>
  <c r="AN45" i="4" s="1"/>
  <c r="Y45" i="4"/>
  <c r="AO45" i="4" s="1"/>
  <c r="N46" i="4"/>
  <c r="AD46" i="4" s="1"/>
  <c r="O46" i="4"/>
  <c r="AE46" i="4" s="1"/>
  <c r="P46" i="4"/>
  <c r="AF46" i="4" s="1"/>
  <c r="Q46" i="4"/>
  <c r="AG46" i="4" s="1"/>
  <c r="R46" i="4"/>
  <c r="AH46" i="4" s="1"/>
  <c r="S46" i="4"/>
  <c r="AI46" i="4" s="1"/>
  <c r="T46" i="4"/>
  <c r="AJ46" i="4" s="1"/>
  <c r="U46" i="4"/>
  <c r="V46" i="4"/>
  <c r="AL46" i="4" s="1"/>
  <c r="W46" i="4"/>
  <c r="AM46" i="4" s="1"/>
  <c r="X46" i="4"/>
  <c r="AN46" i="4" s="1"/>
  <c r="Y46" i="4"/>
  <c r="AO46" i="4" s="1"/>
  <c r="M48" i="4"/>
  <c r="N48" i="4"/>
  <c r="O48" i="4"/>
  <c r="P48" i="4"/>
  <c r="Q48" i="4"/>
  <c r="R48" i="4"/>
  <c r="S48" i="4"/>
  <c r="U48" i="4"/>
  <c r="V48" i="4"/>
  <c r="W48" i="4"/>
  <c r="X48" i="4"/>
  <c r="Y48" i="4"/>
  <c r="M49" i="4"/>
  <c r="N49" i="4"/>
  <c r="O49" i="4"/>
  <c r="P49" i="4"/>
  <c r="Q49" i="4"/>
  <c r="R49" i="4"/>
  <c r="S49" i="4"/>
  <c r="T49" i="4"/>
  <c r="U49" i="4"/>
  <c r="V49" i="4"/>
  <c r="W49" i="4"/>
  <c r="X49" i="4"/>
  <c r="Y49" i="4"/>
  <c r="N51" i="4"/>
  <c r="AD51" i="4" s="1"/>
  <c r="O51" i="4"/>
  <c r="AE51" i="4" s="1"/>
  <c r="P51" i="4"/>
  <c r="AF51" i="4" s="1"/>
  <c r="Q51" i="4"/>
  <c r="AG51" i="4" s="1"/>
  <c r="R51" i="4"/>
  <c r="AH51" i="4" s="1"/>
  <c r="S51" i="4"/>
  <c r="AI51" i="4" s="1"/>
  <c r="T51" i="4"/>
  <c r="AJ51" i="4" s="1"/>
  <c r="U51" i="4"/>
  <c r="AK51" i="4" s="1"/>
  <c r="V51" i="4"/>
  <c r="AL51" i="4" s="1"/>
  <c r="W51" i="4"/>
  <c r="AM51" i="4" s="1"/>
  <c r="X51" i="4"/>
  <c r="AN51" i="4" s="1"/>
  <c r="Y51" i="4"/>
  <c r="AO51" i="4" s="1"/>
  <c r="M53" i="4"/>
  <c r="N53" i="4"/>
  <c r="O53" i="4"/>
  <c r="P53" i="4"/>
  <c r="Q53" i="4"/>
  <c r="R53" i="4"/>
  <c r="S53" i="4"/>
  <c r="U53" i="4"/>
  <c r="V53" i="4"/>
  <c r="W53" i="4"/>
  <c r="X53" i="4"/>
  <c r="Y53" i="4"/>
  <c r="M54" i="4"/>
  <c r="N54" i="4"/>
  <c r="O54" i="4"/>
  <c r="P54" i="4"/>
  <c r="Q54" i="4"/>
  <c r="R54" i="4"/>
  <c r="S54" i="4"/>
  <c r="T54" i="4"/>
  <c r="U54" i="4"/>
  <c r="V54" i="4"/>
  <c r="W54" i="4"/>
  <c r="X54" i="4"/>
  <c r="Y54" i="4"/>
  <c r="N56" i="4"/>
  <c r="O56" i="4"/>
  <c r="AE56" i="4" s="1"/>
  <c r="P56" i="4"/>
  <c r="AF56" i="4" s="1"/>
  <c r="Q56" i="4"/>
  <c r="AG56" i="4" s="1"/>
  <c r="R56" i="4"/>
  <c r="AH56" i="4" s="1"/>
  <c r="S56" i="4"/>
  <c r="AI56" i="4" s="1"/>
  <c r="T56" i="4"/>
  <c r="AJ56" i="4" s="1"/>
  <c r="U56" i="4"/>
  <c r="AK56" i="4" s="1"/>
  <c r="V56" i="4"/>
  <c r="AL56" i="4" s="1"/>
  <c r="W56" i="4"/>
  <c r="AM56" i="4" s="1"/>
  <c r="X56" i="4"/>
  <c r="AN56" i="4" s="1"/>
  <c r="Y56" i="4"/>
  <c r="AO56" i="4" s="1"/>
  <c r="M58" i="4"/>
  <c r="N58" i="4"/>
  <c r="O58" i="4"/>
  <c r="P58" i="4"/>
  <c r="Q58" i="4"/>
  <c r="R58" i="4"/>
  <c r="S58" i="4"/>
  <c r="U58" i="4"/>
  <c r="V58" i="4"/>
  <c r="W58" i="4"/>
  <c r="X58" i="4"/>
  <c r="Y58" i="4"/>
  <c r="M59" i="4"/>
  <c r="N59" i="4"/>
  <c r="O59" i="4"/>
  <c r="P59" i="4"/>
  <c r="Q59" i="4"/>
  <c r="R59" i="4"/>
  <c r="S59" i="4"/>
  <c r="T59" i="4"/>
  <c r="U59" i="4"/>
  <c r="V59" i="4"/>
  <c r="W59" i="4"/>
  <c r="X59" i="4"/>
  <c r="Y59" i="4"/>
  <c r="N61" i="4"/>
  <c r="AD61" i="4" s="1"/>
  <c r="O61" i="4"/>
  <c r="AE61" i="4" s="1"/>
  <c r="P61" i="4"/>
  <c r="AF61" i="4" s="1"/>
  <c r="Q61" i="4"/>
  <c r="AG61" i="4" s="1"/>
  <c r="R61" i="4"/>
  <c r="AH61" i="4" s="1"/>
  <c r="S61" i="4"/>
  <c r="AI61" i="4" s="1"/>
  <c r="T61" i="4"/>
  <c r="AJ61" i="4" s="1"/>
  <c r="U61" i="4"/>
  <c r="AK61" i="4" s="1"/>
  <c r="V61" i="4"/>
  <c r="W61" i="4"/>
  <c r="AM61" i="4" s="1"/>
  <c r="X61" i="4"/>
  <c r="AN61" i="4" s="1"/>
  <c r="Y61" i="4"/>
  <c r="AO61" i="4" s="1"/>
  <c r="M63" i="4"/>
  <c r="N63" i="4"/>
  <c r="O63" i="4"/>
  <c r="P63" i="4"/>
  <c r="Q63" i="4"/>
  <c r="R63" i="4"/>
  <c r="S63" i="4"/>
  <c r="U63" i="4"/>
  <c r="V63" i="4"/>
  <c r="W63" i="4"/>
  <c r="X63" i="4"/>
  <c r="Y63" i="4"/>
  <c r="M64" i="4"/>
  <c r="N64" i="4"/>
  <c r="O64" i="4"/>
  <c r="P64" i="4"/>
  <c r="Q64" i="4"/>
  <c r="R64" i="4"/>
  <c r="S64" i="4"/>
  <c r="T64" i="4"/>
  <c r="U64" i="4"/>
  <c r="V64" i="4"/>
  <c r="W64" i="4"/>
  <c r="X64" i="4"/>
  <c r="Y64" i="4"/>
  <c r="N66" i="4"/>
  <c r="AD66" i="4" s="1"/>
  <c r="O66" i="4"/>
  <c r="P66" i="4"/>
  <c r="AF66" i="4" s="1"/>
  <c r="Q66" i="4"/>
  <c r="AG66" i="4" s="1"/>
  <c r="R66" i="4"/>
  <c r="AH66" i="4" s="1"/>
  <c r="S66" i="4"/>
  <c r="AI66" i="4" s="1"/>
  <c r="T66" i="4"/>
  <c r="AJ66" i="4" s="1"/>
  <c r="U66" i="4"/>
  <c r="AK66" i="4" s="1"/>
  <c r="V66" i="4"/>
  <c r="AL66" i="4" s="1"/>
  <c r="W66" i="4"/>
  <c r="AM66" i="4" s="1"/>
  <c r="X66" i="4"/>
  <c r="AN66" i="4" s="1"/>
  <c r="Y66" i="4"/>
  <c r="AO66" i="4" s="1"/>
  <c r="CN22" i="5"/>
  <c r="BM24" i="5"/>
  <c r="D25" i="5"/>
  <c r="AK25" i="5" s="1"/>
  <c r="V25" i="5"/>
  <c r="BB25" i="5" s="1"/>
  <c r="W25" i="5"/>
  <c r="BC25" i="5" s="1"/>
  <c r="X25" i="5"/>
  <c r="BD25" i="5" s="1"/>
  <c r="Y25" i="5"/>
  <c r="BE25" i="5" s="1"/>
  <c r="Z25" i="5"/>
  <c r="BF25" i="5" s="1"/>
  <c r="AA25" i="5"/>
  <c r="BG25" i="5" s="1"/>
  <c r="AB25" i="5"/>
  <c r="BH25" i="5" s="1"/>
  <c r="AC25" i="5"/>
  <c r="BI25" i="5" s="1"/>
  <c r="AD25" i="5"/>
  <c r="BJ25" i="5" s="1"/>
  <c r="AE25" i="5"/>
  <c r="BK25" i="5" s="1"/>
  <c r="AF25" i="5"/>
  <c r="BL25" i="5" s="1"/>
  <c r="AG25" i="5"/>
  <c r="D26" i="5"/>
  <c r="AK26" i="5" s="1"/>
  <c r="V26" i="5"/>
  <c r="W26" i="5"/>
  <c r="BC26" i="5" s="1"/>
  <c r="X26" i="5"/>
  <c r="BD26" i="5" s="1"/>
  <c r="Y26" i="5"/>
  <c r="BE26" i="5" s="1"/>
  <c r="Z26" i="5"/>
  <c r="BF26" i="5" s="1"/>
  <c r="AA26" i="5"/>
  <c r="BG26" i="5" s="1"/>
  <c r="AB26" i="5"/>
  <c r="AC26" i="5"/>
  <c r="BI26" i="5" s="1"/>
  <c r="AD26" i="5"/>
  <c r="BJ26" i="5" s="1"/>
  <c r="AE26" i="5"/>
  <c r="AF26" i="5"/>
  <c r="BL26" i="5" s="1"/>
  <c r="AG26" i="5"/>
  <c r="BM26" i="5" s="1"/>
  <c r="D27" i="5"/>
  <c r="V27" i="5"/>
  <c r="BB27" i="5" s="1"/>
  <c r="W27" i="5"/>
  <c r="BC27" i="5" s="1"/>
  <c r="X27" i="5"/>
  <c r="BD27" i="5" s="1"/>
  <c r="Y27" i="5"/>
  <c r="BE27" i="5" s="1"/>
  <c r="Z27" i="5"/>
  <c r="BF27" i="5" s="1"/>
  <c r="AA27" i="5"/>
  <c r="AB27" i="5"/>
  <c r="BH27" i="5" s="1"/>
  <c r="AC27" i="5"/>
  <c r="BI27" i="5" s="1"/>
  <c r="AD27" i="5"/>
  <c r="BJ27" i="5" s="1"/>
  <c r="AE27" i="5"/>
  <c r="BK27" i="5" s="1"/>
  <c r="AF27" i="5"/>
  <c r="BL27" i="5" s="1"/>
  <c r="AG27" i="5"/>
  <c r="BM27" i="5" s="1"/>
  <c r="D28" i="5"/>
  <c r="V28" i="5"/>
  <c r="BB28" i="5" s="1"/>
  <c r="W28" i="5"/>
  <c r="X28" i="5"/>
  <c r="BD28" i="5" s="1"/>
  <c r="Y28" i="5"/>
  <c r="BE28" i="5" s="1"/>
  <c r="Z28" i="5"/>
  <c r="BF28" i="5" s="1"/>
  <c r="AA28" i="5"/>
  <c r="BG28" i="5" s="1"/>
  <c r="AB28" i="5"/>
  <c r="BH28" i="5" s="1"/>
  <c r="AC28" i="5"/>
  <c r="BI28" i="5" s="1"/>
  <c r="AD28" i="5"/>
  <c r="BJ28" i="5" s="1"/>
  <c r="AE28" i="5"/>
  <c r="BK28" i="5" s="1"/>
  <c r="AF28" i="5"/>
  <c r="BL28" i="5" s="1"/>
  <c r="AG28" i="5"/>
  <c r="BM28" i="5" s="1"/>
  <c r="D29" i="5"/>
  <c r="AK29" i="5" s="1"/>
  <c r="V29" i="5"/>
  <c r="BB29" i="5" s="1"/>
  <c r="W29" i="5"/>
  <c r="X29" i="5"/>
  <c r="Y29" i="5"/>
  <c r="BE29" i="5" s="1"/>
  <c r="Z29" i="5"/>
  <c r="BF29" i="5" s="1"/>
  <c r="AA29" i="5"/>
  <c r="BG29" i="5" s="1"/>
  <c r="AB29" i="5"/>
  <c r="BH29" i="5" s="1"/>
  <c r="AC29" i="5"/>
  <c r="BI29" i="5" s="1"/>
  <c r="AD29" i="5"/>
  <c r="BJ29" i="5" s="1"/>
  <c r="AE29" i="5"/>
  <c r="BK29" i="5" s="1"/>
  <c r="AF29" i="5"/>
  <c r="BL29" i="5" s="1"/>
  <c r="AG29" i="5"/>
  <c r="BM29" i="5" s="1"/>
  <c r="BC29" i="5"/>
  <c r="D30" i="5"/>
  <c r="AK30" i="5" s="1"/>
  <c r="V30" i="5"/>
  <c r="BB30" i="5" s="1"/>
  <c r="W30" i="5"/>
  <c r="BC30" i="5" s="1"/>
  <c r="X30" i="5"/>
  <c r="BD30" i="5" s="1"/>
  <c r="Y30" i="5"/>
  <c r="BE30" i="5" s="1"/>
  <c r="Z30" i="5"/>
  <c r="BF30" i="5" s="1"/>
  <c r="AA30" i="5"/>
  <c r="BG30" i="5" s="1"/>
  <c r="AB30" i="5"/>
  <c r="BH30" i="5" s="1"/>
  <c r="AC30" i="5"/>
  <c r="BI30" i="5" s="1"/>
  <c r="AD30" i="5"/>
  <c r="BJ30" i="5" s="1"/>
  <c r="AE30" i="5"/>
  <c r="BK30" i="5" s="1"/>
  <c r="AF30" i="5"/>
  <c r="BL30" i="5" s="1"/>
  <c r="AG30" i="5"/>
  <c r="BM30" i="5" s="1"/>
  <c r="D31" i="5"/>
  <c r="AK31" i="5" s="1"/>
  <c r="V31" i="5"/>
  <c r="BB31" i="5" s="1"/>
  <c r="W31" i="5"/>
  <c r="BC31" i="5" s="1"/>
  <c r="X31" i="5"/>
  <c r="Y31" i="5"/>
  <c r="BE31" i="5" s="1"/>
  <c r="Z31" i="5"/>
  <c r="BF31" i="5" s="1"/>
  <c r="AA31" i="5"/>
  <c r="BG31" i="5" s="1"/>
  <c r="AB31" i="5"/>
  <c r="BH31" i="5" s="1"/>
  <c r="AC31" i="5"/>
  <c r="BI31" i="5" s="1"/>
  <c r="AD31" i="5"/>
  <c r="BJ31" i="5" s="1"/>
  <c r="AE31" i="5"/>
  <c r="BK31" i="5" s="1"/>
  <c r="AF31" i="5"/>
  <c r="BL31" i="5" s="1"/>
  <c r="AG31" i="5"/>
  <c r="BM31" i="5" s="1"/>
  <c r="D32" i="5"/>
  <c r="AK32" i="5" s="1"/>
  <c r="V32" i="5"/>
  <c r="BB32" i="5" s="1"/>
  <c r="W32" i="5"/>
  <c r="BC32" i="5" s="1"/>
  <c r="X32" i="5"/>
  <c r="BD32" i="5" s="1"/>
  <c r="Y32" i="5"/>
  <c r="BE32" i="5" s="1"/>
  <c r="Z32" i="5"/>
  <c r="BF32" i="5" s="1"/>
  <c r="AA32" i="5"/>
  <c r="BG32" i="5" s="1"/>
  <c r="AB32" i="5"/>
  <c r="BH32" i="5" s="1"/>
  <c r="AC32" i="5"/>
  <c r="BI32" i="5" s="1"/>
  <c r="AD32" i="5"/>
  <c r="BJ32" i="5" s="1"/>
  <c r="AE32" i="5"/>
  <c r="BK32" i="5" s="1"/>
  <c r="AF32" i="5"/>
  <c r="BL32" i="5" s="1"/>
  <c r="AG32" i="5"/>
  <c r="BM32" i="5" s="1"/>
  <c r="D33" i="5"/>
  <c r="AK33" i="5" s="1"/>
  <c r="V33" i="5"/>
  <c r="BB33" i="5" s="1"/>
  <c r="W33" i="5"/>
  <c r="X33" i="5"/>
  <c r="BD33" i="5" s="1"/>
  <c r="Y33" i="5"/>
  <c r="BE33" i="5" s="1"/>
  <c r="Z33" i="5"/>
  <c r="BF33" i="5" s="1"/>
  <c r="AA33" i="5"/>
  <c r="BG33" i="5" s="1"/>
  <c r="AB33" i="5"/>
  <c r="BH33" i="5" s="1"/>
  <c r="AC33" i="5"/>
  <c r="BI33" i="5" s="1"/>
  <c r="AD33" i="5"/>
  <c r="BJ33" i="5" s="1"/>
  <c r="AE33" i="5"/>
  <c r="BK33" i="5" s="1"/>
  <c r="AF33" i="5"/>
  <c r="BL33" i="5" s="1"/>
  <c r="AG33" i="5"/>
  <c r="BM33" i="5" s="1"/>
  <c r="D34" i="5"/>
  <c r="AK34" i="5" s="1"/>
  <c r="V34" i="5"/>
  <c r="BB34" i="5" s="1"/>
  <c r="W34" i="5"/>
  <c r="BC34" i="5" s="1"/>
  <c r="X34" i="5"/>
  <c r="BD34" i="5" s="1"/>
  <c r="Y34" i="5"/>
  <c r="BE34" i="5" s="1"/>
  <c r="Z34" i="5"/>
  <c r="BF34" i="5" s="1"/>
  <c r="AA34" i="5"/>
  <c r="BG34" i="5" s="1"/>
  <c r="AB34" i="5"/>
  <c r="BH34" i="5" s="1"/>
  <c r="AC34" i="5"/>
  <c r="BI34" i="5" s="1"/>
  <c r="AD34" i="5"/>
  <c r="BJ34" i="5" s="1"/>
  <c r="AE34" i="5"/>
  <c r="BK34" i="5" s="1"/>
  <c r="AF34" i="5"/>
  <c r="BL34" i="5" s="1"/>
  <c r="AG34" i="5"/>
  <c r="BM34" i="5" s="1"/>
  <c r="D35" i="5"/>
  <c r="AK35" i="5" s="1"/>
  <c r="V35" i="5"/>
  <c r="BB35" i="5" s="1"/>
  <c r="W35" i="5"/>
  <c r="BC35" i="5" s="1"/>
  <c r="X35" i="5"/>
  <c r="BD35" i="5" s="1"/>
  <c r="Y35" i="5"/>
  <c r="BE35" i="5" s="1"/>
  <c r="Z35" i="5"/>
  <c r="BF35" i="5" s="1"/>
  <c r="AA35" i="5"/>
  <c r="BG35" i="5" s="1"/>
  <c r="AB35" i="5"/>
  <c r="BH35" i="5" s="1"/>
  <c r="AC35" i="5"/>
  <c r="BI35" i="5" s="1"/>
  <c r="AD35" i="5"/>
  <c r="BJ35" i="5" s="1"/>
  <c r="AE35" i="5"/>
  <c r="BK35" i="5" s="1"/>
  <c r="AF35" i="5"/>
  <c r="BL35" i="5" s="1"/>
  <c r="AG35" i="5"/>
  <c r="BM35" i="5" s="1"/>
  <c r="D36" i="5"/>
  <c r="AK36" i="5" s="1"/>
  <c r="V36" i="5"/>
  <c r="BB36" i="5" s="1"/>
  <c r="W36" i="5"/>
  <c r="BC36" i="5" s="1"/>
  <c r="X36" i="5"/>
  <c r="BD36" i="5" s="1"/>
  <c r="Y36" i="5"/>
  <c r="BE36" i="5" s="1"/>
  <c r="Z36" i="5"/>
  <c r="BF36" i="5" s="1"/>
  <c r="AA36" i="5"/>
  <c r="BG36" i="5" s="1"/>
  <c r="AB36" i="5"/>
  <c r="BH36" i="5" s="1"/>
  <c r="AC36" i="5"/>
  <c r="BI36" i="5" s="1"/>
  <c r="AD36" i="5"/>
  <c r="BJ36" i="5" s="1"/>
  <c r="AE36" i="5"/>
  <c r="BK36" i="5" s="1"/>
  <c r="AF36" i="5"/>
  <c r="BL36" i="5" s="1"/>
  <c r="AG36" i="5"/>
  <c r="BM36" i="5" s="1"/>
  <c r="D37" i="5"/>
  <c r="AK37" i="5" s="1"/>
  <c r="V37" i="5"/>
  <c r="W37" i="5"/>
  <c r="X37" i="5"/>
  <c r="BD37" i="5" s="1"/>
  <c r="Y37" i="5"/>
  <c r="BE37" i="5" s="1"/>
  <c r="Z37" i="5"/>
  <c r="BF37" i="5" s="1"/>
  <c r="AA37" i="5"/>
  <c r="BG37" i="5" s="1"/>
  <c r="AB37" i="5"/>
  <c r="BH37" i="5" s="1"/>
  <c r="AC37" i="5"/>
  <c r="BI37" i="5" s="1"/>
  <c r="AD37" i="5"/>
  <c r="BJ37" i="5" s="1"/>
  <c r="AE37" i="5"/>
  <c r="BK37" i="5" s="1"/>
  <c r="AF37" i="5"/>
  <c r="BL37" i="5" s="1"/>
  <c r="AG37" i="5"/>
  <c r="BM37" i="5" s="1"/>
  <c r="D38" i="5"/>
  <c r="AK38" i="5" s="1"/>
  <c r="V38" i="5"/>
  <c r="BB38" i="5" s="1"/>
  <c r="W38" i="5"/>
  <c r="BC38" i="5" s="1"/>
  <c r="X38" i="5"/>
  <c r="BD38" i="5" s="1"/>
  <c r="Y38" i="5"/>
  <c r="BE38" i="5" s="1"/>
  <c r="Z38" i="5"/>
  <c r="BF38" i="5" s="1"/>
  <c r="AA38" i="5"/>
  <c r="BG38" i="5" s="1"/>
  <c r="AB38" i="5"/>
  <c r="BH38" i="5" s="1"/>
  <c r="AC38" i="5"/>
  <c r="BI38" i="5" s="1"/>
  <c r="AD38" i="5"/>
  <c r="BJ38" i="5" s="1"/>
  <c r="AE38" i="5"/>
  <c r="BK38" i="5" s="1"/>
  <c r="AF38" i="5"/>
  <c r="BL38" i="5" s="1"/>
  <c r="AG38" i="5"/>
  <c r="BM38" i="5" s="1"/>
  <c r="D39" i="5"/>
  <c r="AK39" i="5" s="1"/>
  <c r="V39" i="5"/>
  <c r="BB39" i="5" s="1"/>
  <c r="W39" i="5"/>
  <c r="BC39" i="5" s="1"/>
  <c r="X39" i="5"/>
  <c r="BD39" i="5" s="1"/>
  <c r="Y39" i="5"/>
  <c r="BE39" i="5" s="1"/>
  <c r="Z39" i="5"/>
  <c r="BF39" i="5" s="1"/>
  <c r="AA39" i="5"/>
  <c r="BG39" i="5" s="1"/>
  <c r="AB39" i="5"/>
  <c r="BH39" i="5" s="1"/>
  <c r="AC39" i="5"/>
  <c r="BI39" i="5" s="1"/>
  <c r="AD39" i="5"/>
  <c r="BJ39" i="5" s="1"/>
  <c r="AE39" i="5"/>
  <c r="BK39" i="5" s="1"/>
  <c r="AF39" i="5"/>
  <c r="BL39" i="5" s="1"/>
  <c r="AG39" i="5"/>
  <c r="BM39" i="5" s="1"/>
  <c r="D40" i="5"/>
  <c r="AK40" i="5" s="1"/>
  <c r="V40" i="5"/>
  <c r="BB40" i="5" s="1"/>
  <c r="W40" i="5"/>
  <c r="X40" i="5"/>
  <c r="BD40" i="5" s="1"/>
  <c r="Y40" i="5"/>
  <c r="BE40" i="5" s="1"/>
  <c r="Z40" i="5"/>
  <c r="BF40" i="5" s="1"/>
  <c r="AA40" i="5"/>
  <c r="BG40" i="5" s="1"/>
  <c r="AB40" i="5"/>
  <c r="BH40" i="5" s="1"/>
  <c r="AC40" i="5"/>
  <c r="BI40" i="5" s="1"/>
  <c r="AD40" i="5"/>
  <c r="BJ40" i="5" s="1"/>
  <c r="AE40" i="5"/>
  <c r="BK40" i="5" s="1"/>
  <c r="AF40" i="5"/>
  <c r="BL40" i="5" s="1"/>
  <c r="AG40" i="5"/>
  <c r="BM40" i="5" s="1"/>
  <c r="D41" i="5"/>
  <c r="AK41" i="5" s="1"/>
  <c r="V41" i="5"/>
  <c r="BB41" i="5" s="1"/>
  <c r="W41" i="5"/>
  <c r="X41" i="5"/>
  <c r="BD41" i="5" s="1"/>
  <c r="Y41" i="5"/>
  <c r="BE41" i="5" s="1"/>
  <c r="Z41" i="5"/>
  <c r="BF41" i="5" s="1"/>
  <c r="AA41" i="5"/>
  <c r="BG41" i="5" s="1"/>
  <c r="AB41" i="5"/>
  <c r="BH41" i="5" s="1"/>
  <c r="AC41" i="5"/>
  <c r="BI41" i="5" s="1"/>
  <c r="AD41" i="5"/>
  <c r="BJ41" i="5" s="1"/>
  <c r="AE41" i="5"/>
  <c r="BK41" i="5" s="1"/>
  <c r="AF41" i="5"/>
  <c r="BL41" i="5" s="1"/>
  <c r="AG41" i="5"/>
  <c r="BM41" i="5" s="1"/>
  <c r="D42" i="5"/>
  <c r="AK42" i="5" s="1"/>
  <c r="V42" i="5"/>
  <c r="BB42" i="5" s="1"/>
  <c r="W42" i="5"/>
  <c r="BC42" i="5" s="1"/>
  <c r="X42" i="5"/>
  <c r="BD42" i="5" s="1"/>
  <c r="Y42" i="5"/>
  <c r="BE42" i="5" s="1"/>
  <c r="Z42" i="5"/>
  <c r="BF42" i="5" s="1"/>
  <c r="AA42" i="5"/>
  <c r="BG42" i="5" s="1"/>
  <c r="AB42" i="5"/>
  <c r="BH42" i="5" s="1"/>
  <c r="AC42" i="5"/>
  <c r="BI42" i="5" s="1"/>
  <c r="AD42" i="5"/>
  <c r="BJ42" i="5" s="1"/>
  <c r="AE42" i="5"/>
  <c r="BK42" i="5" s="1"/>
  <c r="AF42" i="5"/>
  <c r="BL42" i="5" s="1"/>
  <c r="AG42" i="5"/>
  <c r="BM42" i="5" s="1"/>
  <c r="D43" i="5"/>
  <c r="AK43" i="5" s="1"/>
  <c r="T43" i="5"/>
  <c r="AJ43" i="5" s="1"/>
  <c r="AZ43" i="5" s="1"/>
  <c r="V43" i="5"/>
  <c r="BB43" i="5" s="1"/>
  <c r="W43" i="5"/>
  <c r="BC43" i="5" s="1"/>
  <c r="X43" i="5"/>
  <c r="BD43" i="5" s="1"/>
  <c r="Y43" i="5"/>
  <c r="BE43" i="5" s="1"/>
  <c r="Z43" i="5"/>
  <c r="BF43" i="5" s="1"/>
  <c r="AA43" i="5"/>
  <c r="BG43" i="5" s="1"/>
  <c r="AB43" i="5"/>
  <c r="BH43" i="5" s="1"/>
  <c r="AC43" i="5"/>
  <c r="BI43" i="5" s="1"/>
  <c r="AD43" i="5"/>
  <c r="BJ43" i="5" s="1"/>
  <c r="AE43" i="5"/>
  <c r="BK43" i="5" s="1"/>
  <c r="AF43" i="5"/>
  <c r="BL43" i="5" s="1"/>
  <c r="AG43" i="5"/>
  <c r="BM43" i="5" s="1"/>
  <c r="CN45" i="5"/>
  <c r="D49" i="5"/>
  <c r="V49" i="5"/>
  <c r="BB49" i="5" s="1"/>
  <c r="W49" i="5"/>
  <c r="BC49" i="5" s="1"/>
  <c r="X49" i="5"/>
  <c r="BD49" i="5" s="1"/>
  <c r="Y49" i="5"/>
  <c r="BE49" i="5" s="1"/>
  <c r="Z49" i="5"/>
  <c r="BF49" i="5" s="1"/>
  <c r="AA49" i="5"/>
  <c r="AB49" i="5"/>
  <c r="BH49" i="5" s="1"/>
  <c r="AC49" i="5"/>
  <c r="AD49" i="5"/>
  <c r="BJ49" i="5" s="1"/>
  <c r="AE49" i="5"/>
  <c r="BK49" i="5" s="1"/>
  <c r="AF49" i="5"/>
  <c r="BL49" i="5" s="1"/>
  <c r="AG49" i="5"/>
  <c r="D50" i="5"/>
  <c r="AK50" i="5" s="1"/>
  <c r="V50" i="5"/>
  <c r="W50" i="5"/>
  <c r="X50" i="5"/>
  <c r="BD50" i="5" s="1"/>
  <c r="Y50" i="5"/>
  <c r="BE50" i="5" s="1"/>
  <c r="Z50" i="5"/>
  <c r="BF50" i="5" s="1"/>
  <c r="AA50" i="5"/>
  <c r="BG50" i="5" s="1"/>
  <c r="AB50" i="5"/>
  <c r="BH50" i="5" s="1"/>
  <c r="AC50" i="5"/>
  <c r="BI50" i="5" s="1"/>
  <c r="AD50" i="5"/>
  <c r="AE50" i="5"/>
  <c r="BK50" i="5" s="1"/>
  <c r="AF50" i="5"/>
  <c r="AG50" i="5"/>
  <c r="BM50" i="5" s="1"/>
  <c r="D51" i="5"/>
  <c r="AK51" i="5" s="1"/>
  <c r="V51" i="5"/>
  <c r="W51" i="5"/>
  <c r="BC51" i="5" s="1"/>
  <c r="X51" i="5"/>
  <c r="BD51" i="5" s="1"/>
  <c r="Y51" i="5"/>
  <c r="Z51" i="5"/>
  <c r="BF51" i="5" s="1"/>
  <c r="AA51" i="5"/>
  <c r="BG51" i="5" s="1"/>
  <c r="AB51" i="5"/>
  <c r="BH51" i="5" s="1"/>
  <c r="AC51" i="5"/>
  <c r="BI51" i="5" s="1"/>
  <c r="AD51" i="5"/>
  <c r="BJ51" i="5" s="1"/>
  <c r="AE51" i="5"/>
  <c r="BK51" i="5" s="1"/>
  <c r="AF51" i="5"/>
  <c r="BL51" i="5" s="1"/>
  <c r="AG51" i="5"/>
  <c r="BM51" i="5" s="1"/>
  <c r="D52" i="5"/>
  <c r="AK52" i="5" s="1"/>
  <c r="V52" i="5"/>
  <c r="BB52" i="5" s="1"/>
  <c r="W52" i="5"/>
  <c r="BC52" i="5" s="1"/>
  <c r="X52" i="5"/>
  <c r="Y52" i="5"/>
  <c r="BE52" i="5" s="1"/>
  <c r="Z52" i="5"/>
  <c r="BF52" i="5" s="1"/>
  <c r="AA52" i="5"/>
  <c r="BG52" i="5" s="1"/>
  <c r="AB52" i="5"/>
  <c r="BH52" i="5" s="1"/>
  <c r="AC52" i="5"/>
  <c r="BI52" i="5" s="1"/>
  <c r="AD52" i="5"/>
  <c r="BJ52" i="5" s="1"/>
  <c r="AE52" i="5"/>
  <c r="BK52" i="5" s="1"/>
  <c r="AF52" i="5"/>
  <c r="BL52" i="5" s="1"/>
  <c r="AG52" i="5"/>
  <c r="BM52" i="5" s="1"/>
  <c r="D53" i="5"/>
  <c r="AK53" i="5" s="1"/>
  <c r="T53" i="5"/>
  <c r="AJ53" i="5" s="1"/>
  <c r="AZ53" i="5" s="1"/>
  <c r="V53" i="5"/>
  <c r="BB53" i="5" s="1"/>
  <c r="W53" i="5"/>
  <c r="BC53" i="5" s="1"/>
  <c r="X53" i="5"/>
  <c r="BD53" i="5" s="1"/>
  <c r="Y53" i="5"/>
  <c r="BE53" i="5" s="1"/>
  <c r="Z53" i="5"/>
  <c r="BF53" i="5" s="1"/>
  <c r="AA53" i="5"/>
  <c r="BG53" i="5" s="1"/>
  <c r="AB53" i="5"/>
  <c r="BH53" i="5" s="1"/>
  <c r="AC53" i="5"/>
  <c r="BI53" i="5" s="1"/>
  <c r="AD53" i="5"/>
  <c r="BJ53" i="5" s="1"/>
  <c r="AE53" i="5"/>
  <c r="BK53" i="5" s="1"/>
  <c r="AF53" i="5"/>
  <c r="BL53" i="5" s="1"/>
  <c r="AG53" i="5"/>
  <c r="BM53" i="5" s="1"/>
  <c r="D59" i="5"/>
  <c r="AK59" i="5" s="1"/>
  <c r="V59" i="5"/>
  <c r="W59" i="5"/>
  <c r="X59" i="5"/>
  <c r="Y59" i="5"/>
  <c r="BE59" i="5" s="1"/>
  <c r="Z59" i="5"/>
  <c r="BF59" i="5" s="1"/>
  <c r="AA59" i="5"/>
  <c r="BG59" i="5" s="1"/>
  <c r="AB59" i="5"/>
  <c r="BH59" i="5" s="1"/>
  <c r="AC59" i="5"/>
  <c r="BI59" i="5" s="1"/>
  <c r="AD59" i="5"/>
  <c r="BJ59" i="5" s="1"/>
  <c r="AE59" i="5"/>
  <c r="BK59" i="5" s="1"/>
  <c r="AF59" i="5"/>
  <c r="BL59" i="5" s="1"/>
  <c r="AG59" i="5"/>
  <c r="BM59" i="5" s="1"/>
  <c r="BB59" i="5"/>
  <c r="BC59" i="5"/>
  <c r="BD59" i="5"/>
  <c r="D60" i="5"/>
  <c r="V60" i="5"/>
  <c r="BB60" i="5" s="1"/>
  <c r="W60" i="5"/>
  <c r="BC60" i="5" s="1"/>
  <c r="X60" i="5"/>
  <c r="BD60" i="5" s="1"/>
  <c r="Y60" i="5"/>
  <c r="Z60" i="5"/>
  <c r="BF60" i="5" s="1"/>
  <c r="AA60" i="5"/>
  <c r="BG60" i="5" s="1"/>
  <c r="AB60" i="5"/>
  <c r="BH60" i="5" s="1"/>
  <c r="AC60" i="5"/>
  <c r="BI60" i="5" s="1"/>
  <c r="AD60" i="5"/>
  <c r="AE60" i="5"/>
  <c r="BK60" i="5" s="1"/>
  <c r="AF60" i="5"/>
  <c r="BL60" i="5" s="1"/>
  <c r="AG60" i="5"/>
  <c r="BM60" i="5" s="1"/>
  <c r="D61" i="5"/>
  <c r="V61" i="5"/>
  <c r="W61" i="5"/>
  <c r="BC61" i="5" s="1"/>
  <c r="X61" i="5"/>
  <c r="BD61" i="5" s="1"/>
  <c r="Y61" i="5"/>
  <c r="BE61" i="5" s="1"/>
  <c r="Z61" i="5"/>
  <c r="BF61" i="5" s="1"/>
  <c r="AA61" i="5"/>
  <c r="BG61" i="5" s="1"/>
  <c r="AB61" i="5"/>
  <c r="BH61" i="5" s="1"/>
  <c r="AC61" i="5"/>
  <c r="BI61" i="5" s="1"/>
  <c r="AD61" i="5"/>
  <c r="BJ61" i="5" s="1"/>
  <c r="AE61" i="5"/>
  <c r="BK61" i="5" s="1"/>
  <c r="AF61" i="5"/>
  <c r="BL61" i="5" s="1"/>
  <c r="AG61" i="5"/>
  <c r="BM61" i="5" s="1"/>
  <c r="D62" i="5"/>
  <c r="V62" i="5"/>
  <c r="BB62" i="5" s="1"/>
  <c r="W62" i="5"/>
  <c r="BC62" i="5" s="1"/>
  <c r="X62" i="5"/>
  <c r="BD62" i="5" s="1"/>
  <c r="Y62" i="5"/>
  <c r="BE62" i="5" s="1"/>
  <c r="Z62" i="5"/>
  <c r="BF62" i="5" s="1"/>
  <c r="AA62" i="5"/>
  <c r="BG62" i="5" s="1"/>
  <c r="AB62" i="5"/>
  <c r="BH62" i="5" s="1"/>
  <c r="AC62" i="5"/>
  <c r="BI62" i="5" s="1"/>
  <c r="AD62" i="5"/>
  <c r="BJ62" i="5" s="1"/>
  <c r="AE62" i="5"/>
  <c r="BK62" i="5" s="1"/>
  <c r="AF62" i="5"/>
  <c r="BL62" i="5" s="1"/>
  <c r="AG62" i="5"/>
  <c r="BM62" i="5" s="1"/>
  <c r="D63" i="5"/>
  <c r="V63" i="5"/>
  <c r="W63" i="5"/>
  <c r="BC63" i="5" s="1"/>
  <c r="X63" i="5"/>
  <c r="BD63" i="5" s="1"/>
  <c r="Y63" i="5"/>
  <c r="BE63" i="5" s="1"/>
  <c r="Z63" i="5"/>
  <c r="BF63" i="5" s="1"/>
  <c r="AA63" i="5"/>
  <c r="BG63" i="5" s="1"/>
  <c r="AB63" i="5"/>
  <c r="BH63" i="5" s="1"/>
  <c r="AC63" i="5"/>
  <c r="BI63" i="5" s="1"/>
  <c r="AD63" i="5"/>
  <c r="BJ63" i="5" s="1"/>
  <c r="AE63" i="5"/>
  <c r="BK63" i="5" s="1"/>
  <c r="AF63" i="5"/>
  <c r="AG63" i="5"/>
  <c r="BM63" i="5" s="1"/>
  <c r="D64" i="5"/>
  <c r="AK64" i="5" s="1"/>
  <c r="V64" i="5"/>
  <c r="BB64" i="5" s="1"/>
  <c r="W64" i="5"/>
  <c r="BC64" i="5" s="1"/>
  <c r="X64" i="5"/>
  <c r="BD64" i="5" s="1"/>
  <c r="Y64" i="5"/>
  <c r="Z64" i="5"/>
  <c r="BF64" i="5" s="1"/>
  <c r="AA64" i="5"/>
  <c r="AB64" i="5"/>
  <c r="BH64" i="5" s="1"/>
  <c r="AC64" i="5"/>
  <c r="BI64" i="5" s="1"/>
  <c r="AD64" i="5"/>
  <c r="BJ64" i="5" s="1"/>
  <c r="AE64" i="5"/>
  <c r="AF64" i="5"/>
  <c r="BL64" i="5" s="1"/>
  <c r="AG64" i="5"/>
  <c r="BM64" i="5" s="1"/>
  <c r="D65" i="5"/>
  <c r="AK65" i="5" s="1"/>
  <c r="T65" i="5"/>
  <c r="AJ65" i="5" s="1"/>
  <c r="AZ65" i="5" s="1"/>
  <c r="V65" i="5"/>
  <c r="W65" i="5"/>
  <c r="X65" i="5"/>
  <c r="Y65" i="5"/>
  <c r="Z65" i="5"/>
  <c r="AA65" i="5"/>
  <c r="BG65" i="5" s="1"/>
  <c r="AB65" i="5"/>
  <c r="BH65" i="5" s="1"/>
  <c r="AC65" i="5"/>
  <c r="BI65" i="5" s="1"/>
  <c r="AD65" i="5"/>
  <c r="BJ65" i="5" s="1"/>
  <c r="AE65" i="5"/>
  <c r="BK65" i="5" s="1"/>
  <c r="AF65" i="5"/>
  <c r="BL65" i="5" s="1"/>
  <c r="AG65" i="5"/>
  <c r="BM65" i="5" s="1"/>
  <c r="BB65" i="5"/>
  <c r="BC65" i="5"/>
  <c r="BD65" i="5"/>
  <c r="BE65" i="5"/>
  <c r="BF65" i="5"/>
  <c r="D71" i="5"/>
  <c r="AK71" i="5" s="1"/>
  <c r="V71" i="5"/>
  <c r="BB71" i="5" s="1"/>
  <c r="W71" i="5"/>
  <c r="BC71" i="5" s="1"/>
  <c r="X71" i="5"/>
  <c r="BD71" i="5" s="1"/>
  <c r="Y71" i="5"/>
  <c r="BE71" i="5" s="1"/>
  <c r="Z71" i="5"/>
  <c r="BF71" i="5" s="1"/>
  <c r="AA71" i="5"/>
  <c r="BG71" i="5" s="1"/>
  <c r="AB71" i="5"/>
  <c r="BH71" i="5" s="1"/>
  <c r="AC71" i="5"/>
  <c r="BI71" i="5" s="1"/>
  <c r="AD71" i="5"/>
  <c r="BJ71" i="5" s="1"/>
  <c r="AE71" i="5"/>
  <c r="BK71" i="5" s="1"/>
  <c r="AF71" i="5"/>
  <c r="BL71" i="5" s="1"/>
  <c r="AG71" i="5"/>
  <c r="BM71" i="5" s="1"/>
  <c r="D72" i="5"/>
  <c r="AK72" i="5" s="1"/>
  <c r="V72" i="5"/>
  <c r="BB72" i="5" s="1"/>
  <c r="W72" i="5"/>
  <c r="BC72" i="5" s="1"/>
  <c r="X72" i="5"/>
  <c r="Y72" i="5"/>
  <c r="BE72" i="5" s="1"/>
  <c r="Z72" i="5"/>
  <c r="BF72" i="5" s="1"/>
  <c r="AA72" i="5"/>
  <c r="BG72" i="5" s="1"/>
  <c r="AB72" i="5"/>
  <c r="BH72" i="5" s="1"/>
  <c r="AC72" i="5"/>
  <c r="BI72" i="5" s="1"/>
  <c r="AD72" i="5"/>
  <c r="BJ72" i="5" s="1"/>
  <c r="AE72" i="5"/>
  <c r="BK72" i="5" s="1"/>
  <c r="AF72" i="5"/>
  <c r="BL72" i="5" s="1"/>
  <c r="AG72" i="5"/>
  <c r="BM72" i="5" s="1"/>
  <c r="D73" i="5"/>
  <c r="V73" i="5"/>
  <c r="W73" i="5"/>
  <c r="BC73" i="5" s="1"/>
  <c r="X73" i="5"/>
  <c r="BD73" i="5" s="1"/>
  <c r="Y73" i="5"/>
  <c r="BE73" i="5" s="1"/>
  <c r="Z73" i="5"/>
  <c r="BF73" i="5" s="1"/>
  <c r="AA73" i="5"/>
  <c r="BG73" i="5" s="1"/>
  <c r="AB73" i="5"/>
  <c r="BH73" i="5" s="1"/>
  <c r="AC73" i="5"/>
  <c r="BI73" i="5" s="1"/>
  <c r="AD73" i="5"/>
  <c r="BJ73" i="5" s="1"/>
  <c r="AE73" i="5"/>
  <c r="BK73" i="5" s="1"/>
  <c r="AF73" i="5"/>
  <c r="BL73" i="5" s="1"/>
  <c r="AG73" i="5"/>
  <c r="BM73" i="5" s="1"/>
  <c r="D74" i="5"/>
  <c r="AK74" i="5" s="1"/>
  <c r="V74" i="5"/>
  <c r="BB74" i="5" s="1"/>
  <c r="W74" i="5"/>
  <c r="BC74" i="5" s="1"/>
  <c r="X74" i="5"/>
  <c r="BD74" i="5" s="1"/>
  <c r="Y74" i="5"/>
  <c r="BE74" i="5" s="1"/>
  <c r="Z74" i="5"/>
  <c r="BF74" i="5" s="1"/>
  <c r="AA74" i="5"/>
  <c r="BG74" i="5" s="1"/>
  <c r="AB74" i="5"/>
  <c r="AC74" i="5"/>
  <c r="BI74" i="5" s="1"/>
  <c r="AD74" i="5"/>
  <c r="BJ74" i="5" s="1"/>
  <c r="AE74" i="5"/>
  <c r="AF74" i="5"/>
  <c r="BL74" i="5" s="1"/>
  <c r="AG74" i="5"/>
  <c r="BM74" i="5" s="1"/>
  <c r="D75" i="5"/>
  <c r="AK75" i="5" s="1"/>
  <c r="V75" i="5"/>
  <c r="W75" i="5"/>
  <c r="X75" i="5"/>
  <c r="BD75" i="5" s="1"/>
  <c r="Y75" i="5"/>
  <c r="BE75" i="5" s="1"/>
  <c r="Z75" i="5"/>
  <c r="BF75" i="5" s="1"/>
  <c r="AA75" i="5"/>
  <c r="BG75" i="5" s="1"/>
  <c r="AB75" i="5"/>
  <c r="BH75" i="5" s="1"/>
  <c r="AC75" i="5"/>
  <c r="BI75" i="5" s="1"/>
  <c r="AD75" i="5"/>
  <c r="AE75" i="5"/>
  <c r="BK75" i="5" s="1"/>
  <c r="AF75" i="5"/>
  <c r="BL75" i="5" s="1"/>
  <c r="AG75" i="5"/>
  <c r="BM75" i="5" s="1"/>
  <c r="BB75" i="5"/>
  <c r="BC75" i="5"/>
  <c r="BJ75" i="5"/>
  <c r="D76" i="5"/>
  <c r="AK76" i="5" s="1"/>
  <c r="V76" i="5"/>
  <c r="W76" i="5"/>
  <c r="BC76" i="5" s="1"/>
  <c r="X76" i="5"/>
  <c r="BD76" i="5" s="1"/>
  <c r="Y76" i="5"/>
  <c r="BE76" i="5" s="1"/>
  <c r="Z76" i="5"/>
  <c r="AA76" i="5"/>
  <c r="BG76" i="5" s="1"/>
  <c r="AB76" i="5"/>
  <c r="BH76" i="5" s="1"/>
  <c r="AC76" i="5"/>
  <c r="BI76" i="5" s="1"/>
  <c r="AD76" i="5"/>
  <c r="BJ76" i="5" s="1"/>
  <c r="AE76" i="5"/>
  <c r="BK76" i="5" s="1"/>
  <c r="AF76" i="5"/>
  <c r="AG76" i="5"/>
  <c r="BM76" i="5" s="1"/>
  <c r="D77" i="5"/>
  <c r="AK77" i="5" s="1"/>
  <c r="V77" i="5"/>
  <c r="BB77" i="5" s="1"/>
  <c r="W77" i="5"/>
  <c r="BC77" i="5" s="1"/>
  <c r="X77" i="5"/>
  <c r="BD77" i="5" s="1"/>
  <c r="Y77" i="5"/>
  <c r="BE77" i="5" s="1"/>
  <c r="Z77" i="5"/>
  <c r="BF77" i="5" s="1"/>
  <c r="AA77" i="5"/>
  <c r="BG77" i="5" s="1"/>
  <c r="AB77" i="5"/>
  <c r="BH77" i="5" s="1"/>
  <c r="AC77" i="5"/>
  <c r="BI77" i="5" s="1"/>
  <c r="AD77" i="5"/>
  <c r="BJ77" i="5" s="1"/>
  <c r="AE77" i="5"/>
  <c r="AF77" i="5"/>
  <c r="BL77" i="5" s="1"/>
  <c r="AG77" i="5"/>
  <c r="BM77" i="5" s="1"/>
  <c r="D78" i="5"/>
  <c r="AK78" i="5" s="1"/>
  <c r="T78" i="5"/>
  <c r="AJ78" i="5" s="1"/>
  <c r="AZ78" i="5" s="1"/>
  <c r="V78" i="5"/>
  <c r="W78" i="5"/>
  <c r="BC78" i="5" s="1"/>
  <c r="X78" i="5"/>
  <c r="BD78" i="5" s="1"/>
  <c r="Y78" i="5"/>
  <c r="BE78" i="5" s="1"/>
  <c r="Z78" i="5"/>
  <c r="BF78" i="5" s="1"/>
  <c r="AA78" i="5"/>
  <c r="BG78" i="5" s="1"/>
  <c r="AB78" i="5"/>
  <c r="BH78" i="5" s="1"/>
  <c r="AC78" i="5"/>
  <c r="BI78" i="5" s="1"/>
  <c r="AD78" i="5"/>
  <c r="BJ78" i="5" s="1"/>
  <c r="AE78" i="5"/>
  <c r="BK78" i="5" s="1"/>
  <c r="AF78" i="5"/>
  <c r="BL78" i="5" s="1"/>
  <c r="AG78" i="5"/>
  <c r="BM78" i="5" s="1"/>
  <c r="D84" i="5"/>
  <c r="AK84" i="5" s="1"/>
  <c r="V84" i="5"/>
  <c r="W84" i="5"/>
  <c r="BC84" i="5" s="1"/>
  <c r="X84" i="5"/>
  <c r="BD84" i="5" s="1"/>
  <c r="Y84" i="5"/>
  <c r="BE84" i="5" s="1"/>
  <c r="Z84" i="5"/>
  <c r="BF84" i="5" s="1"/>
  <c r="AA84" i="5"/>
  <c r="BG84" i="5" s="1"/>
  <c r="AB84" i="5"/>
  <c r="BH84" i="5" s="1"/>
  <c r="AC84" i="5"/>
  <c r="BI84" i="5" s="1"/>
  <c r="AD84" i="5"/>
  <c r="BJ84" i="5" s="1"/>
  <c r="AE84" i="5"/>
  <c r="BK84" i="5" s="1"/>
  <c r="AF84" i="5"/>
  <c r="BL84" i="5" s="1"/>
  <c r="AG84" i="5"/>
  <c r="BM84" i="5" s="1"/>
  <c r="D85" i="5"/>
  <c r="V85" i="5"/>
  <c r="BB85" i="5" s="1"/>
  <c r="W85" i="5"/>
  <c r="BC85" i="5" s="1"/>
  <c r="X85" i="5"/>
  <c r="BD85" i="5" s="1"/>
  <c r="Y85" i="5"/>
  <c r="BE85" i="5" s="1"/>
  <c r="Z85" i="5"/>
  <c r="BF85" i="5" s="1"/>
  <c r="AA85" i="5"/>
  <c r="BG85" i="5" s="1"/>
  <c r="AB85" i="5"/>
  <c r="BH85" i="5" s="1"/>
  <c r="AC85" i="5"/>
  <c r="BI85" i="5" s="1"/>
  <c r="AD85" i="5"/>
  <c r="BJ85" i="5" s="1"/>
  <c r="AE85" i="5"/>
  <c r="BK85" i="5" s="1"/>
  <c r="AF85" i="5"/>
  <c r="BL85" i="5" s="1"/>
  <c r="AG85" i="5"/>
  <c r="BM85" i="5" s="1"/>
  <c r="D86" i="5"/>
  <c r="AK86" i="5" s="1"/>
  <c r="V86" i="5"/>
  <c r="W86" i="5"/>
  <c r="BC86" i="5" s="1"/>
  <c r="X86" i="5"/>
  <c r="BD86" i="5" s="1"/>
  <c r="Y86" i="5"/>
  <c r="BE86" i="5" s="1"/>
  <c r="Z86" i="5"/>
  <c r="BF86" i="5" s="1"/>
  <c r="AA86" i="5"/>
  <c r="BG86" i="5" s="1"/>
  <c r="AB86" i="5"/>
  <c r="BH86" i="5" s="1"/>
  <c r="AC86" i="5"/>
  <c r="BI86" i="5" s="1"/>
  <c r="AD86" i="5"/>
  <c r="BJ86" i="5" s="1"/>
  <c r="AE86" i="5"/>
  <c r="BK86" i="5" s="1"/>
  <c r="AF86" i="5"/>
  <c r="BL86" i="5" s="1"/>
  <c r="AG86" i="5"/>
  <c r="BM86" i="5" s="1"/>
  <c r="D87" i="5"/>
  <c r="AK87" i="5" s="1"/>
  <c r="V87" i="5"/>
  <c r="BB87" i="5" s="1"/>
  <c r="W87" i="5"/>
  <c r="BC87" i="5" s="1"/>
  <c r="X87" i="5"/>
  <c r="BD87" i="5" s="1"/>
  <c r="Y87" i="5"/>
  <c r="Z87" i="5"/>
  <c r="BF87" i="5" s="1"/>
  <c r="AA87" i="5"/>
  <c r="BG87" i="5" s="1"/>
  <c r="AB87" i="5"/>
  <c r="BH87" i="5" s="1"/>
  <c r="AC87" i="5"/>
  <c r="BI87" i="5" s="1"/>
  <c r="AD87" i="5"/>
  <c r="BJ87" i="5" s="1"/>
  <c r="AE87" i="5"/>
  <c r="BK87" i="5" s="1"/>
  <c r="AF87" i="5"/>
  <c r="BL87" i="5" s="1"/>
  <c r="AG87" i="5"/>
  <c r="BM87" i="5" s="1"/>
  <c r="D88" i="5"/>
  <c r="AK88" i="5" s="1"/>
  <c r="V88" i="5"/>
  <c r="W88" i="5"/>
  <c r="BC88" i="5" s="1"/>
  <c r="X88" i="5"/>
  <c r="BD88" i="5" s="1"/>
  <c r="Y88" i="5"/>
  <c r="BE88" i="5" s="1"/>
  <c r="Z88" i="5"/>
  <c r="BF88" i="5" s="1"/>
  <c r="AA88" i="5"/>
  <c r="BG88" i="5" s="1"/>
  <c r="AB88" i="5"/>
  <c r="BH88" i="5" s="1"/>
  <c r="AC88" i="5"/>
  <c r="BI88" i="5" s="1"/>
  <c r="AD88" i="5"/>
  <c r="BJ88" i="5" s="1"/>
  <c r="AE88" i="5"/>
  <c r="BK88" i="5" s="1"/>
  <c r="AF88" i="5"/>
  <c r="BL88" i="5" s="1"/>
  <c r="AG88" i="5"/>
  <c r="BM88" i="5" s="1"/>
  <c r="D89" i="5"/>
  <c r="AK89" i="5" s="1"/>
  <c r="V89" i="5"/>
  <c r="BB89" i="5" s="1"/>
  <c r="W89" i="5"/>
  <c r="BC89" i="5" s="1"/>
  <c r="X89" i="5"/>
  <c r="Y89" i="5"/>
  <c r="BE89" i="5" s="1"/>
  <c r="Z89" i="5"/>
  <c r="BF89" i="5" s="1"/>
  <c r="AA89" i="5"/>
  <c r="BG89" i="5" s="1"/>
  <c r="AB89" i="5"/>
  <c r="BH89" i="5" s="1"/>
  <c r="AC89" i="5"/>
  <c r="BI89" i="5" s="1"/>
  <c r="AD89" i="5"/>
  <c r="BJ89" i="5" s="1"/>
  <c r="AE89" i="5"/>
  <c r="BK89" i="5" s="1"/>
  <c r="AF89" i="5"/>
  <c r="BL89" i="5" s="1"/>
  <c r="AG89" i="5"/>
  <c r="D90" i="5"/>
  <c r="V90" i="5"/>
  <c r="BB90" i="5" s="1"/>
  <c r="W90" i="5"/>
  <c r="BC90" i="5" s="1"/>
  <c r="X90" i="5"/>
  <c r="BD90" i="5" s="1"/>
  <c r="Y90" i="5"/>
  <c r="BE90" i="5" s="1"/>
  <c r="Z90" i="5"/>
  <c r="BF90" i="5" s="1"/>
  <c r="AA90" i="5"/>
  <c r="BG90" i="5" s="1"/>
  <c r="AB90" i="5"/>
  <c r="BH90" i="5" s="1"/>
  <c r="AC90" i="5"/>
  <c r="AD90" i="5"/>
  <c r="BJ90" i="5" s="1"/>
  <c r="AE90" i="5"/>
  <c r="BK90" i="5" s="1"/>
  <c r="AF90" i="5"/>
  <c r="BL90" i="5" s="1"/>
  <c r="AG90" i="5"/>
  <c r="BM90" i="5" s="1"/>
  <c r="D91" i="5"/>
  <c r="AK91" i="5" s="1"/>
  <c r="V91" i="5"/>
  <c r="BB91" i="5" s="1"/>
  <c r="W91" i="5"/>
  <c r="BC91" i="5" s="1"/>
  <c r="X91" i="5"/>
  <c r="BD91" i="5" s="1"/>
  <c r="Y91" i="5"/>
  <c r="BE91" i="5" s="1"/>
  <c r="Z91" i="5"/>
  <c r="BF91" i="5" s="1"/>
  <c r="AA91" i="5"/>
  <c r="BG91" i="5" s="1"/>
  <c r="AB91" i="5"/>
  <c r="BH91" i="5" s="1"/>
  <c r="AC91" i="5"/>
  <c r="BI91" i="5" s="1"/>
  <c r="AD91" i="5"/>
  <c r="AE91" i="5"/>
  <c r="BK91" i="5" s="1"/>
  <c r="AF91" i="5"/>
  <c r="BL91" i="5" s="1"/>
  <c r="AG91" i="5"/>
  <c r="BM91" i="5" s="1"/>
  <c r="D92" i="5"/>
  <c r="AK92" i="5" s="1"/>
  <c r="V92" i="5"/>
  <c r="BB92" i="5" s="1"/>
  <c r="W92" i="5"/>
  <c r="BC92" i="5" s="1"/>
  <c r="X92" i="5"/>
  <c r="BD92" i="5" s="1"/>
  <c r="Y92" i="5"/>
  <c r="BE92" i="5" s="1"/>
  <c r="Z92" i="5"/>
  <c r="BF92" i="5" s="1"/>
  <c r="AA92" i="5"/>
  <c r="BG92" i="5" s="1"/>
  <c r="AB92" i="5"/>
  <c r="BH92" i="5" s="1"/>
  <c r="AC92" i="5"/>
  <c r="BI92" i="5" s="1"/>
  <c r="AD92" i="5"/>
  <c r="BJ92" i="5" s="1"/>
  <c r="AE92" i="5"/>
  <c r="BK92" i="5" s="1"/>
  <c r="AF92" i="5"/>
  <c r="BL92" i="5" s="1"/>
  <c r="AG92" i="5"/>
  <c r="BM92" i="5" s="1"/>
  <c r="D93" i="5"/>
  <c r="AK93" i="5" s="1"/>
  <c r="V93" i="5"/>
  <c r="W93" i="5"/>
  <c r="BC93" i="5" s="1"/>
  <c r="X93" i="5"/>
  <c r="BD93" i="5" s="1"/>
  <c r="Y93" i="5"/>
  <c r="BE93" i="5" s="1"/>
  <c r="Z93" i="5"/>
  <c r="BF93" i="5" s="1"/>
  <c r="AA93" i="5"/>
  <c r="BG93" i="5" s="1"/>
  <c r="AB93" i="5"/>
  <c r="BH93" i="5" s="1"/>
  <c r="AC93" i="5"/>
  <c r="BI93" i="5" s="1"/>
  <c r="AD93" i="5"/>
  <c r="BJ93" i="5" s="1"/>
  <c r="AE93" i="5"/>
  <c r="BK93" i="5" s="1"/>
  <c r="AF93" i="5"/>
  <c r="BL93" i="5" s="1"/>
  <c r="AG93" i="5"/>
  <c r="BM93" i="5" s="1"/>
  <c r="BB93" i="5"/>
  <c r="D94" i="5"/>
  <c r="AK94" i="5" s="1"/>
  <c r="V94" i="5"/>
  <c r="BB94" i="5" s="1"/>
  <c r="W94" i="5"/>
  <c r="BC94" i="5" s="1"/>
  <c r="X94" i="5"/>
  <c r="BD94" i="5" s="1"/>
  <c r="Y94" i="5"/>
  <c r="BE94" i="5" s="1"/>
  <c r="Z94" i="5"/>
  <c r="BF94" i="5" s="1"/>
  <c r="AA94" i="5"/>
  <c r="BG94" i="5" s="1"/>
  <c r="AB94" i="5"/>
  <c r="BH94" i="5" s="1"/>
  <c r="AC94" i="5"/>
  <c r="BI94" i="5" s="1"/>
  <c r="AD94" i="5"/>
  <c r="BJ94" i="5" s="1"/>
  <c r="AE94" i="5"/>
  <c r="BK94" i="5" s="1"/>
  <c r="AF94" i="5"/>
  <c r="BL94" i="5" s="1"/>
  <c r="AG94" i="5"/>
  <c r="BM94" i="5" s="1"/>
  <c r="D95" i="5"/>
  <c r="V95" i="5"/>
  <c r="BB95" i="5" s="1"/>
  <c r="W95" i="5"/>
  <c r="BC95" i="5" s="1"/>
  <c r="X95" i="5"/>
  <c r="BD95" i="5" s="1"/>
  <c r="Y95" i="5"/>
  <c r="BE95" i="5" s="1"/>
  <c r="Z95" i="5"/>
  <c r="BF95" i="5" s="1"/>
  <c r="AA95" i="5"/>
  <c r="BG95" i="5" s="1"/>
  <c r="AB95" i="5"/>
  <c r="AC95" i="5"/>
  <c r="BI95" i="5" s="1"/>
  <c r="AD95" i="5"/>
  <c r="BJ95" i="5" s="1"/>
  <c r="AE95" i="5"/>
  <c r="BK95" i="5" s="1"/>
  <c r="AF95" i="5"/>
  <c r="BL95" i="5" s="1"/>
  <c r="AG95" i="5"/>
  <c r="BM95" i="5" s="1"/>
  <c r="D96" i="5"/>
  <c r="AK96" i="5" s="1"/>
  <c r="V96" i="5"/>
  <c r="BB96" i="5" s="1"/>
  <c r="W96" i="5"/>
  <c r="BC96" i="5" s="1"/>
  <c r="X96" i="5"/>
  <c r="BD96" i="5" s="1"/>
  <c r="Y96" i="5"/>
  <c r="BE96" i="5" s="1"/>
  <c r="Z96" i="5"/>
  <c r="AA96" i="5"/>
  <c r="BG96" i="5" s="1"/>
  <c r="AB96" i="5"/>
  <c r="BH96" i="5" s="1"/>
  <c r="AC96" i="5"/>
  <c r="BI96" i="5" s="1"/>
  <c r="AD96" i="5"/>
  <c r="BJ96" i="5" s="1"/>
  <c r="AE96" i="5"/>
  <c r="BK96" i="5" s="1"/>
  <c r="AF96" i="5"/>
  <c r="BL96" i="5" s="1"/>
  <c r="AG96" i="5"/>
  <c r="BM96" i="5" s="1"/>
  <c r="D97" i="5"/>
  <c r="V97" i="5"/>
  <c r="W97" i="5"/>
  <c r="BC97" i="5" s="1"/>
  <c r="X97" i="5"/>
  <c r="BD97" i="5" s="1"/>
  <c r="Y97" i="5"/>
  <c r="BE97" i="5" s="1"/>
  <c r="Z97" i="5"/>
  <c r="BF97" i="5" s="1"/>
  <c r="AA97" i="5"/>
  <c r="BG97" i="5" s="1"/>
  <c r="AB97" i="5"/>
  <c r="BH97" i="5" s="1"/>
  <c r="AC97" i="5"/>
  <c r="BI97" i="5" s="1"/>
  <c r="AD97" i="5"/>
  <c r="BJ97" i="5" s="1"/>
  <c r="AE97" i="5"/>
  <c r="AF97" i="5"/>
  <c r="BL97" i="5" s="1"/>
  <c r="AG97" i="5"/>
  <c r="BM97" i="5" s="1"/>
  <c r="D98" i="5"/>
  <c r="AK98" i="5" s="1"/>
  <c r="V98" i="5"/>
  <c r="BB98" i="5" s="1"/>
  <c r="W98" i="5"/>
  <c r="BC98" i="5" s="1"/>
  <c r="X98" i="5"/>
  <c r="BD98" i="5" s="1"/>
  <c r="Y98" i="5"/>
  <c r="BE98" i="5" s="1"/>
  <c r="Z98" i="5"/>
  <c r="BF98" i="5" s="1"/>
  <c r="AA98" i="5"/>
  <c r="BG98" i="5" s="1"/>
  <c r="AB98" i="5"/>
  <c r="BH98" i="5" s="1"/>
  <c r="AC98" i="5"/>
  <c r="BI98" i="5" s="1"/>
  <c r="AD98" i="5"/>
  <c r="BJ98" i="5" s="1"/>
  <c r="AE98" i="5"/>
  <c r="BK98" i="5" s="1"/>
  <c r="AF98" i="5"/>
  <c r="BL98" i="5" s="1"/>
  <c r="AG98" i="5"/>
  <c r="BM98" i="5" s="1"/>
  <c r="D99" i="5"/>
  <c r="AK99" i="5" s="1"/>
  <c r="V99" i="5"/>
  <c r="BB99" i="5" s="1"/>
  <c r="W99" i="5"/>
  <c r="BC99" i="5" s="1"/>
  <c r="X99" i="5"/>
  <c r="BD99" i="5" s="1"/>
  <c r="Y99" i="5"/>
  <c r="BE99" i="5" s="1"/>
  <c r="Z99" i="5"/>
  <c r="BF99" i="5" s="1"/>
  <c r="AA99" i="5"/>
  <c r="BG99" i="5" s="1"/>
  <c r="AB99" i="5"/>
  <c r="BH99" i="5" s="1"/>
  <c r="AC99" i="5"/>
  <c r="BI99" i="5" s="1"/>
  <c r="AD99" i="5"/>
  <c r="BJ99" i="5" s="1"/>
  <c r="AE99" i="5"/>
  <c r="BK99" i="5" s="1"/>
  <c r="AF99" i="5"/>
  <c r="BL99" i="5" s="1"/>
  <c r="AG99" i="5"/>
  <c r="BM99" i="5" s="1"/>
  <c r="D100" i="5"/>
  <c r="AK100" i="5" s="1"/>
  <c r="V100" i="5"/>
  <c r="W100" i="5"/>
  <c r="BC100" i="5" s="1"/>
  <c r="X100" i="5"/>
  <c r="BD100" i="5" s="1"/>
  <c r="Y100" i="5"/>
  <c r="BE100" i="5" s="1"/>
  <c r="Z100" i="5"/>
  <c r="BF100" i="5" s="1"/>
  <c r="AA100" i="5"/>
  <c r="BG100" i="5" s="1"/>
  <c r="AB100" i="5"/>
  <c r="BH100" i="5" s="1"/>
  <c r="AC100" i="5"/>
  <c r="BI100" i="5" s="1"/>
  <c r="AD100" i="5"/>
  <c r="BJ100" i="5" s="1"/>
  <c r="AE100" i="5"/>
  <c r="BK100" i="5" s="1"/>
  <c r="AF100" i="5"/>
  <c r="BL100" i="5" s="1"/>
  <c r="AG100" i="5"/>
  <c r="BM100" i="5" s="1"/>
  <c r="D101" i="5"/>
  <c r="AK101" i="5" s="1"/>
  <c r="V101" i="5"/>
  <c r="BB101" i="5" s="1"/>
  <c r="W101" i="5"/>
  <c r="BC101" i="5" s="1"/>
  <c r="X101" i="5"/>
  <c r="Y101" i="5"/>
  <c r="BE101" i="5" s="1"/>
  <c r="Z101" i="5"/>
  <c r="BF101" i="5" s="1"/>
  <c r="AA101" i="5"/>
  <c r="BG101" i="5" s="1"/>
  <c r="AB101" i="5"/>
  <c r="BH101" i="5" s="1"/>
  <c r="AC101" i="5"/>
  <c r="BI101" i="5" s="1"/>
  <c r="AD101" i="5"/>
  <c r="BJ101" i="5" s="1"/>
  <c r="AE101" i="5"/>
  <c r="BK101" i="5" s="1"/>
  <c r="AF101" i="5"/>
  <c r="BL101" i="5" s="1"/>
  <c r="AG101" i="5"/>
  <c r="BM101" i="5" s="1"/>
  <c r="D102" i="5"/>
  <c r="AK102" i="5" s="1"/>
  <c r="V102" i="5"/>
  <c r="BB102" i="5" s="1"/>
  <c r="W102" i="5"/>
  <c r="BC102" i="5" s="1"/>
  <c r="X102" i="5"/>
  <c r="BD102" i="5" s="1"/>
  <c r="Y102" i="5"/>
  <c r="BE102" i="5" s="1"/>
  <c r="Z102" i="5"/>
  <c r="BF102" i="5" s="1"/>
  <c r="AA102" i="5"/>
  <c r="BG102" i="5" s="1"/>
  <c r="AB102" i="5"/>
  <c r="BH102" i="5" s="1"/>
  <c r="AC102" i="5"/>
  <c r="BI102" i="5" s="1"/>
  <c r="AD102" i="5"/>
  <c r="BJ102" i="5" s="1"/>
  <c r="AE102" i="5"/>
  <c r="BK102" i="5" s="1"/>
  <c r="AF102" i="5"/>
  <c r="BL102" i="5" s="1"/>
  <c r="AG102" i="5"/>
  <c r="BM102" i="5" s="1"/>
  <c r="D103" i="5"/>
  <c r="AK103" i="5" s="1"/>
  <c r="V103" i="5"/>
  <c r="BB103" i="5" s="1"/>
  <c r="W103" i="5"/>
  <c r="BC103" i="5" s="1"/>
  <c r="X103" i="5"/>
  <c r="BD103" i="5" s="1"/>
  <c r="Y103" i="5"/>
  <c r="BE103" i="5" s="1"/>
  <c r="Z103" i="5"/>
  <c r="BF103" i="5" s="1"/>
  <c r="AA103" i="5"/>
  <c r="BG103" i="5" s="1"/>
  <c r="AB103" i="5"/>
  <c r="BH103" i="5" s="1"/>
  <c r="AC103" i="5"/>
  <c r="BI103" i="5" s="1"/>
  <c r="AD103" i="5"/>
  <c r="BJ103" i="5" s="1"/>
  <c r="AE103" i="5"/>
  <c r="BK103" i="5" s="1"/>
  <c r="AF103" i="5"/>
  <c r="BL103" i="5" s="1"/>
  <c r="AG103" i="5"/>
  <c r="BM103" i="5" s="1"/>
  <c r="D104" i="5"/>
  <c r="AK104" i="5" s="1"/>
  <c r="T104" i="5"/>
  <c r="AJ104" i="5" s="1"/>
  <c r="AZ104" i="5" s="1"/>
  <c r="V104" i="5"/>
  <c r="BB104" i="5" s="1"/>
  <c r="W104" i="5"/>
  <c r="X104" i="5"/>
  <c r="BD104" i="5" s="1"/>
  <c r="Y104" i="5"/>
  <c r="BE104" i="5" s="1"/>
  <c r="Z104" i="5"/>
  <c r="BF104" i="5" s="1"/>
  <c r="AA104" i="5"/>
  <c r="BG104" i="5" s="1"/>
  <c r="AB104" i="5"/>
  <c r="BH104" i="5" s="1"/>
  <c r="AC104" i="5"/>
  <c r="BI104" i="5" s="1"/>
  <c r="AD104" i="5"/>
  <c r="BJ104" i="5" s="1"/>
  <c r="AE104" i="5"/>
  <c r="BK104" i="5" s="1"/>
  <c r="AF104" i="5"/>
  <c r="BL104" i="5" s="1"/>
  <c r="AG104" i="5"/>
  <c r="BM104" i="5" s="1"/>
  <c r="D110" i="5"/>
  <c r="AK110" i="5" s="1"/>
  <c r="V110" i="5"/>
  <c r="BB110" i="5" s="1"/>
  <c r="W110" i="5"/>
  <c r="BC110" i="5" s="1"/>
  <c r="X110" i="5"/>
  <c r="BD110" i="5" s="1"/>
  <c r="Y110" i="5"/>
  <c r="BE110" i="5" s="1"/>
  <c r="Z110" i="5"/>
  <c r="AA110" i="5"/>
  <c r="BG110" i="5" s="1"/>
  <c r="AB110" i="5"/>
  <c r="BH110" i="5" s="1"/>
  <c r="AC110" i="5"/>
  <c r="BI110" i="5" s="1"/>
  <c r="AD110" i="5"/>
  <c r="BJ110" i="5" s="1"/>
  <c r="AE110" i="5"/>
  <c r="BK110" i="5" s="1"/>
  <c r="AF110" i="5"/>
  <c r="BL110" i="5" s="1"/>
  <c r="AG110" i="5"/>
  <c r="BM110" i="5" s="1"/>
  <c r="BF110" i="5"/>
  <c r="D111" i="5"/>
  <c r="AK111" i="5" s="1"/>
  <c r="V111" i="5"/>
  <c r="BB111" i="5" s="1"/>
  <c r="W111" i="5"/>
  <c r="BC111" i="5" s="1"/>
  <c r="X111" i="5"/>
  <c r="BD111" i="5" s="1"/>
  <c r="Y111" i="5"/>
  <c r="BE111" i="5" s="1"/>
  <c r="Z111" i="5"/>
  <c r="BF111" i="5" s="1"/>
  <c r="AA111" i="5"/>
  <c r="BG111" i="5" s="1"/>
  <c r="AB111" i="5"/>
  <c r="BH111" i="5" s="1"/>
  <c r="AC111" i="5"/>
  <c r="BI111" i="5" s="1"/>
  <c r="AD111" i="5"/>
  <c r="AE111" i="5"/>
  <c r="BK111" i="5" s="1"/>
  <c r="AF111" i="5"/>
  <c r="BL111" i="5" s="1"/>
  <c r="AG111" i="5"/>
  <c r="BM111" i="5" s="1"/>
  <c r="D112" i="5"/>
  <c r="AK112" i="5" s="1"/>
  <c r="V112" i="5"/>
  <c r="BB112" i="5" s="1"/>
  <c r="W112" i="5"/>
  <c r="BC112" i="5" s="1"/>
  <c r="X112" i="5"/>
  <c r="Y112" i="5"/>
  <c r="BE112" i="5" s="1"/>
  <c r="Z112" i="5"/>
  <c r="BF112" i="5" s="1"/>
  <c r="AA112" i="5"/>
  <c r="BG112" i="5" s="1"/>
  <c r="AB112" i="5"/>
  <c r="BH112" i="5" s="1"/>
  <c r="AC112" i="5"/>
  <c r="BI112" i="5" s="1"/>
  <c r="AD112" i="5"/>
  <c r="BJ112" i="5" s="1"/>
  <c r="AE112" i="5"/>
  <c r="BK112" i="5" s="1"/>
  <c r="AF112" i="5"/>
  <c r="BL112" i="5" s="1"/>
  <c r="AG112" i="5"/>
  <c r="BM112" i="5" s="1"/>
  <c r="D113" i="5"/>
  <c r="V113" i="5"/>
  <c r="W113" i="5"/>
  <c r="BC113" i="5" s="1"/>
  <c r="X113" i="5"/>
  <c r="BD113" i="5" s="1"/>
  <c r="Y113" i="5"/>
  <c r="BE113" i="5" s="1"/>
  <c r="Z113" i="5"/>
  <c r="BF113" i="5" s="1"/>
  <c r="AA113" i="5"/>
  <c r="BG113" i="5" s="1"/>
  <c r="AB113" i="5"/>
  <c r="BH113" i="5" s="1"/>
  <c r="AC113" i="5"/>
  <c r="BI113" i="5" s="1"/>
  <c r="AD113" i="5"/>
  <c r="BJ113" i="5" s="1"/>
  <c r="AE113" i="5"/>
  <c r="BK113" i="5" s="1"/>
  <c r="AF113" i="5"/>
  <c r="BL113" i="5" s="1"/>
  <c r="AG113" i="5"/>
  <c r="BM113" i="5" s="1"/>
  <c r="BB113" i="5"/>
  <c r="D114" i="5"/>
  <c r="AK114" i="5" s="1"/>
  <c r="V114" i="5"/>
  <c r="BB114" i="5" s="1"/>
  <c r="W114" i="5"/>
  <c r="BC114" i="5" s="1"/>
  <c r="X114" i="5"/>
  <c r="BD114" i="5" s="1"/>
  <c r="Y114" i="5"/>
  <c r="Z114" i="5"/>
  <c r="BF114" i="5" s="1"/>
  <c r="AA114" i="5"/>
  <c r="BG114" i="5" s="1"/>
  <c r="AB114" i="5"/>
  <c r="BH114" i="5" s="1"/>
  <c r="AC114" i="5"/>
  <c r="BI114" i="5" s="1"/>
  <c r="AD114" i="5"/>
  <c r="BJ114" i="5" s="1"/>
  <c r="AE114" i="5"/>
  <c r="AF114" i="5"/>
  <c r="BL114" i="5" s="1"/>
  <c r="AG114" i="5"/>
  <c r="BM114" i="5" s="1"/>
  <c r="CN114" i="5"/>
  <c r="D115" i="5"/>
  <c r="AK115" i="5" s="1"/>
  <c r="V115" i="5"/>
  <c r="BB115" i="5" s="1"/>
  <c r="W115" i="5"/>
  <c r="X115" i="5"/>
  <c r="BD115" i="5" s="1"/>
  <c r="Y115" i="5"/>
  <c r="BE115" i="5" s="1"/>
  <c r="Z115" i="5"/>
  <c r="BF115" i="5" s="1"/>
  <c r="AA115" i="5"/>
  <c r="BG115" i="5" s="1"/>
  <c r="AB115" i="5"/>
  <c r="BH115" i="5" s="1"/>
  <c r="AC115" i="5"/>
  <c r="BI115" i="5" s="1"/>
  <c r="AD115" i="5"/>
  <c r="BJ115" i="5" s="1"/>
  <c r="AE115" i="5"/>
  <c r="BK115" i="5" s="1"/>
  <c r="AF115" i="5"/>
  <c r="BL115" i="5" s="1"/>
  <c r="AG115" i="5"/>
  <c r="BM115" i="5" s="1"/>
  <c r="D116" i="5"/>
  <c r="T116" i="5"/>
  <c r="AJ116" i="5" s="1"/>
  <c r="AZ116" i="5" s="1"/>
  <c r="V116" i="5"/>
  <c r="BB116" i="5" s="1"/>
  <c r="W116" i="5"/>
  <c r="BC116" i="5" s="1"/>
  <c r="X116" i="5"/>
  <c r="BD116" i="5" s="1"/>
  <c r="Y116" i="5"/>
  <c r="BE116" i="5" s="1"/>
  <c r="Z116" i="5"/>
  <c r="BF116" i="5" s="1"/>
  <c r="AA116" i="5"/>
  <c r="BG116" i="5" s="1"/>
  <c r="AB116" i="5"/>
  <c r="BH116" i="5" s="1"/>
  <c r="AC116" i="5"/>
  <c r="BI116" i="5" s="1"/>
  <c r="AD116" i="5"/>
  <c r="BJ116" i="5" s="1"/>
  <c r="AE116" i="5"/>
  <c r="BK116" i="5" s="1"/>
  <c r="AF116" i="5"/>
  <c r="BL116" i="5" s="1"/>
  <c r="AG116" i="5"/>
  <c r="BM116" i="5" s="1"/>
  <c r="D122" i="5"/>
  <c r="AK122" i="5" s="1"/>
  <c r="V122" i="5"/>
  <c r="BB122" i="5" s="1"/>
  <c r="W122" i="5"/>
  <c r="BC122" i="5" s="1"/>
  <c r="X122" i="5"/>
  <c r="BD122" i="5" s="1"/>
  <c r="Y122" i="5"/>
  <c r="BE122" i="5" s="1"/>
  <c r="Z122" i="5"/>
  <c r="BF122" i="5" s="1"/>
  <c r="AA122" i="5"/>
  <c r="BG122" i="5" s="1"/>
  <c r="AB122" i="5"/>
  <c r="BH122" i="5" s="1"/>
  <c r="AC122" i="5"/>
  <c r="BI122" i="5" s="1"/>
  <c r="AD122" i="5"/>
  <c r="BJ122" i="5" s="1"/>
  <c r="AE122" i="5"/>
  <c r="BK122" i="5" s="1"/>
  <c r="AF122" i="5"/>
  <c r="BL122" i="5" s="1"/>
  <c r="AG122" i="5"/>
  <c r="BM122" i="5" s="1"/>
  <c r="D123" i="5"/>
  <c r="AK123" i="5" s="1"/>
  <c r="V123" i="5"/>
  <c r="BB123" i="5" s="1"/>
  <c r="W123" i="5"/>
  <c r="BC123" i="5" s="1"/>
  <c r="X123" i="5"/>
  <c r="BD123" i="5" s="1"/>
  <c r="Y123" i="5"/>
  <c r="BE123" i="5" s="1"/>
  <c r="Z123" i="5"/>
  <c r="BF123" i="5" s="1"/>
  <c r="AA123" i="5"/>
  <c r="BG123" i="5" s="1"/>
  <c r="AB123" i="5"/>
  <c r="BH123" i="5" s="1"/>
  <c r="AC123" i="5"/>
  <c r="AD123" i="5"/>
  <c r="BJ123" i="5" s="1"/>
  <c r="AE123" i="5"/>
  <c r="BK123" i="5" s="1"/>
  <c r="AF123" i="5"/>
  <c r="BL123" i="5" s="1"/>
  <c r="AG123" i="5"/>
  <c r="BM123" i="5" s="1"/>
  <c r="D124" i="5"/>
  <c r="V124" i="5"/>
  <c r="BB124" i="5" s="1"/>
  <c r="W124" i="5"/>
  <c r="BC124" i="5" s="1"/>
  <c r="X124" i="5"/>
  <c r="Y124" i="5"/>
  <c r="BE124" i="5" s="1"/>
  <c r="Z124" i="5"/>
  <c r="BF124" i="5" s="1"/>
  <c r="AA124" i="5"/>
  <c r="BG124" i="5" s="1"/>
  <c r="AB124" i="5"/>
  <c r="BH124" i="5" s="1"/>
  <c r="AC124" i="5"/>
  <c r="BI124" i="5" s="1"/>
  <c r="AD124" i="5"/>
  <c r="BJ124" i="5" s="1"/>
  <c r="AE124" i="5"/>
  <c r="BK124" i="5" s="1"/>
  <c r="AF124" i="5"/>
  <c r="AG124" i="5"/>
  <c r="BM124" i="5" s="1"/>
  <c r="D125" i="5"/>
  <c r="AK125" i="5" s="1"/>
  <c r="V125" i="5"/>
  <c r="BB125" i="5" s="1"/>
  <c r="W125" i="5"/>
  <c r="X125" i="5"/>
  <c r="BD125" i="5" s="1"/>
  <c r="Y125" i="5"/>
  <c r="BE125" i="5" s="1"/>
  <c r="Z125" i="5"/>
  <c r="BF125" i="5" s="1"/>
  <c r="AA125" i="5"/>
  <c r="BG125" i="5" s="1"/>
  <c r="AB125" i="5"/>
  <c r="BH125" i="5" s="1"/>
  <c r="AC125" i="5"/>
  <c r="BI125" i="5" s="1"/>
  <c r="AD125" i="5"/>
  <c r="BJ125" i="5" s="1"/>
  <c r="AE125" i="5"/>
  <c r="BK125" i="5" s="1"/>
  <c r="AF125" i="5"/>
  <c r="BL125" i="5" s="1"/>
  <c r="AG125" i="5"/>
  <c r="BM125" i="5" s="1"/>
  <c r="D126" i="5"/>
  <c r="AK126" i="5" s="1"/>
  <c r="V126" i="5"/>
  <c r="BB126" i="5" s="1"/>
  <c r="W126" i="5"/>
  <c r="BC126" i="5" s="1"/>
  <c r="X126" i="5"/>
  <c r="BD126" i="5" s="1"/>
  <c r="Y126" i="5"/>
  <c r="BE126" i="5" s="1"/>
  <c r="Z126" i="5"/>
  <c r="BF126" i="5" s="1"/>
  <c r="AA126" i="5"/>
  <c r="AB126" i="5"/>
  <c r="BH126" i="5" s="1"/>
  <c r="AC126" i="5"/>
  <c r="BI126" i="5" s="1"/>
  <c r="AD126" i="5"/>
  <c r="BJ126" i="5" s="1"/>
  <c r="AE126" i="5"/>
  <c r="BK126" i="5" s="1"/>
  <c r="AF126" i="5"/>
  <c r="BL126" i="5" s="1"/>
  <c r="AG126" i="5"/>
  <c r="BM126" i="5" s="1"/>
  <c r="BG126" i="5"/>
  <c r="D127" i="5"/>
  <c r="AK127" i="5" s="1"/>
  <c r="V127" i="5"/>
  <c r="BB127" i="5" s="1"/>
  <c r="W127" i="5"/>
  <c r="BC127" i="5" s="1"/>
  <c r="X127" i="5"/>
  <c r="BD127" i="5" s="1"/>
  <c r="Y127" i="5"/>
  <c r="BE127" i="5" s="1"/>
  <c r="Z127" i="5"/>
  <c r="BF127" i="5" s="1"/>
  <c r="AA127" i="5"/>
  <c r="BG127" i="5" s="1"/>
  <c r="AB127" i="5"/>
  <c r="BH127" i="5" s="1"/>
  <c r="AC127" i="5"/>
  <c r="BI127" i="5" s="1"/>
  <c r="AD127" i="5"/>
  <c r="BJ127" i="5" s="1"/>
  <c r="AE127" i="5"/>
  <c r="BK127" i="5" s="1"/>
  <c r="AF127" i="5"/>
  <c r="BL127" i="5" s="1"/>
  <c r="AG127" i="5"/>
  <c r="BM127" i="5" s="1"/>
  <c r="D128" i="5"/>
  <c r="V128" i="5"/>
  <c r="BB128" i="5" s="1"/>
  <c r="W128" i="5"/>
  <c r="BC128" i="5" s="1"/>
  <c r="X128" i="5"/>
  <c r="BD128" i="5" s="1"/>
  <c r="Y128" i="5"/>
  <c r="BE128" i="5" s="1"/>
  <c r="Z128" i="5"/>
  <c r="BF128" i="5" s="1"/>
  <c r="AA128" i="5"/>
  <c r="BG128" i="5" s="1"/>
  <c r="AB128" i="5"/>
  <c r="BH128" i="5" s="1"/>
  <c r="AC128" i="5"/>
  <c r="BI128" i="5" s="1"/>
  <c r="AD128" i="5"/>
  <c r="BJ128" i="5" s="1"/>
  <c r="AE128" i="5"/>
  <c r="BK128" i="5" s="1"/>
  <c r="AF128" i="5"/>
  <c r="BL128" i="5" s="1"/>
  <c r="AG128" i="5"/>
  <c r="BM128" i="5" s="1"/>
  <c r="D129" i="5"/>
  <c r="AK129" i="5" s="1"/>
  <c r="V129" i="5"/>
  <c r="BB129" i="5" s="1"/>
  <c r="W129" i="5"/>
  <c r="BC129" i="5" s="1"/>
  <c r="X129" i="5"/>
  <c r="BD129" i="5" s="1"/>
  <c r="Y129" i="5"/>
  <c r="BE129" i="5" s="1"/>
  <c r="Z129" i="5"/>
  <c r="BF129" i="5" s="1"/>
  <c r="AA129" i="5"/>
  <c r="BG129" i="5" s="1"/>
  <c r="AB129" i="5"/>
  <c r="BH129" i="5" s="1"/>
  <c r="AC129" i="5"/>
  <c r="BI129" i="5" s="1"/>
  <c r="AD129" i="5"/>
  <c r="BJ129" i="5" s="1"/>
  <c r="AE129" i="5"/>
  <c r="BK129" i="5" s="1"/>
  <c r="AF129" i="5"/>
  <c r="BL129" i="5" s="1"/>
  <c r="AG129" i="5"/>
  <c r="BM129" i="5" s="1"/>
  <c r="D130" i="5"/>
  <c r="AK130" i="5" s="1"/>
  <c r="V130" i="5"/>
  <c r="BB130" i="5" s="1"/>
  <c r="W130" i="5"/>
  <c r="BC130" i="5" s="1"/>
  <c r="X130" i="5"/>
  <c r="BD130" i="5" s="1"/>
  <c r="Y130" i="5"/>
  <c r="BE130" i="5" s="1"/>
  <c r="Z130" i="5"/>
  <c r="BF130" i="5" s="1"/>
  <c r="AA130" i="5"/>
  <c r="BG130" i="5" s="1"/>
  <c r="AB130" i="5"/>
  <c r="AC130" i="5"/>
  <c r="BI130" i="5" s="1"/>
  <c r="AD130" i="5"/>
  <c r="BJ130" i="5" s="1"/>
  <c r="AE130" i="5"/>
  <c r="BK130" i="5" s="1"/>
  <c r="AF130" i="5"/>
  <c r="BL130" i="5" s="1"/>
  <c r="AG130" i="5"/>
  <c r="BM130" i="5" s="1"/>
  <c r="D131" i="5"/>
  <c r="AK131" i="5" s="1"/>
  <c r="V131" i="5"/>
  <c r="W131" i="5"/>
  <c r="BC131" i="5" s="1"/>
  <c r="X131" i="5"/>
  <c r="BD131" i="5" s="1"/>
  <c r="Y131" i="5"/>
  <c r="BE131" i="5" s="1"/>
  <c r="Z131" i="5"/>
  <c r="BF131" i="5" s="1"/>
  <c r="AA131" i="5"/>
  <c r="BG131" i="5" s="1"/>
  <c r="AB131" i="5"/>
  <c r="BH131" i="5" s="1"/>
  <c r="AC131" i="5"/>
  <c r="BI131" i="5" s="1"/>
  <c r="AD131" i="5"/>
  <c r="BJ131" i="5" s="1"/>
  <c r="AE131" i="5"/>
  <c r="BK131" i="5" s="1"/>
  <c r="AF131" i="5"/>
  <c r="BL131" i="5" s="1"/>
  <c r="AG131" i="5"/>
  <c r="BM131" i="5" s="1"/>
  <c r="D132" i="5"/>
  <c r="AK132" i="5" s="1"/>
  <c r="T132" i="5"/>
  <c r="AJ132" i="5" s="1"/>
  <c r="AZ132" i="5" s="1"/>
  <c r="V132" i="5"/>
  <c r="W132" i="5"/>
  <c r="BC132" i="5" s="1"/>
  <c r="X132" i="5"/>
  <c r="BD132" i="5" s="1"/>
  <c r="Y132" i="5"/>
  <c r="BE132" i="5" s="1"/>
  <c r="Z132" i="5"/>
  <c r="BF132" i="5" s="1"/>
  <c r="AA132" i="5"/>
  <c r="BG132" i="5" s="1"/>
  <c r="AB132" i="5"/>
  <c r="BH132" i="5" s="1"/>
  <c r="AC132" i="5"/>
  <c r="BI132" i="5" s="1"/>
  <c r="AD132" i="5"/>
  <c r="BJ132" i="5" s="1"/>
  <c r="AE132" i="5"/>
  <c r="BK132" i="5" s="1"/>
  <c r="AF132" i="5"/>
  <c r="BL132" i="5" s="1"/>
  <c r="AG132" i="5"/>
  <c r="BM132" i="5" s="1"/>
  <c r="BB132" i="5"/>
  <c r="CN137" i="5"/>
  <c r="D138" i="5"/>
  <c r="AK138" i="5" s="1"/>
  <c r="V138" i="5"/>
  <c r="BB138" i="5" s="1"/>
  <c r="W138" i="5"/>
  <c r="BC138" i="5" s="1"/>
  <c r="X138" i="5"/>
  <c r="Y138" i="5"/>
  <c r="BE138" i="5" s="1"/>
  <c r="Z138" i="5"/>
  <c r="AA138" i="5"/>
  <c r="BG138" i="5" s="1"/>
  <c r="AB138" i="5"/>
  <c r="BH138" i="5" s="1"/>
  <c r="AC138" i="5"/>
  <c r="BI138" i="5" s="1"/>
  <c r="AD138" i="5"/>
  <c r="AE138" i="5"/>
  <c r="BK138" i="5" s="1"/>
  <c r="AF138" i="5"/>
  <c r="BL138" i="5" s="1"/>
  <c r="AG138" i="5"/>
  <c r="BM138" i="5" s="1"/>
  <c r="D139" i="5"/>
  <c r="AK139" i="5" s="1"/>
  <c r="X139" i="5"/>
  <c r="BD139" i="5" s="1"/>
  <c r="Y139" i="5"/>
  <c r="BE139" i="5" s="1"/>
  <c r="Z139" i="5"/>
  <c r="BF139" i="5" s="1"/>
  <c r="AA139" i="5"/>
  <c r="AB139" i="5"/>
  <c r="BH139" i="5" s="1"/>
  <c r="AC139" i="5"/>
  <c r="BI139" i="5" s="1"/>
  <c r="AD139" i="5"/>
  <c r="BJ139" i="5" s="1"/>
  <c r="AE139" i="5"/>
  <c r="BK139" i="5" s="1"/>
  <c r="AF139" i="5"/>
  <c r="BL139" i="5" s="1"/>
  <c r="AG139" i="5"/>
  <c r="BM139" i="5" s="1"/>
  <c r="D140" i="5"/>
  <c r="AK140" i="5" s="1"/>
  <c r="V140" i="5"/>
  <c r="BB140" i="5" s="1"/>
  <c r="W140" i="5"/>
  <c r="BC140" i="5" s="1"/>
  <c r="X140" i="5"/>
  <c r="BD140" i="5" s="1"/>
  <c r="Y140" i="5"/>
  <c r="BE140" i="5" s="1"/>
  <c r="Z140" i="5"/>
  <c r="BF140" i="5" s="1"/>
  <c r="AA140" i="5"/>
  <c r="BG140" i="5" s="1"/>
  <c r="AB140" i="5"/>
  <c r="BH140" i="5" s="1"/>
  <c r="AC140" i="5"/>
  <c r="BI140" i="5" s="1"/>
  <c r="AD140" i="5"/>
  <c r="BJ140" i="5" s="1"/>
  <c r="AE140" i="5"/>
  <c r="BK140" i="5" s="1"/>
  <c r="AF140" i="5"/>
  <c r="BL140" i="5" s="1"/>
  <c r="AG140" i="5"/>
  <c r="BM140" i="5" s="1"/>
  <c r="D141" i="5"/>
  <c r="V141" i="5"/>
  <c r="BB141" i="5" s="1"/>
  <c r="W141" i="5"/>
  <c r="BC141" i="5" s="1"/>
  <c r="X141" i="5"/>
  <c r="BD141" i="5" s="1"/>
  <c r="Y141" i="5"/>
  <c r="BE141" i="5" s="1"/>
  <c r="Z141" i="5"/>
  <c r="BF141" i="5" s="1"/>
  <c r="AA141" i="5"/>
  <c r="BG141" i="5" s="1"/>
  <c r="AB141" i="5"/>
  <c r="BH141" i="5" s="1"/>
  <c r="AC141" i="5"/>
  <c r="BI141" i="5" s="1"/>
  <c r="AD141" i="5"/>
  <c r="BJ141" i="5" s="1"/>
  <c r="AE141" i="5"/>
  <c r="BK141" i="5" s="1"/>
  <c r="AF141" i="5"/>
  <c r="BL141" i="5" s="1"/>
  <c r="AG141" i="5"/>
  <c r="BM141" i="5" s="1"/>
  <c r="D142" i="5"/>
  <c r="T142" i="5"/>
  <c r="AJ142" i="5" s="1"/>
  <c r="AZ142" i="5" s="1"/>
  <c r="V142" i="5"/>
  <c r="BB142" i="5" s="1"/>
  <c r="W142" i="5"/>
  <c r="BC142" i="5" s="1"/>
  <c r="X142" i="5"/>
  <c r="BD142" i="5" s="1"/>
  <c r="Y142" i="5"/>
  <c r="BE142" i="5" s="1"/>
  <c r="Z142" i="5"/>
  <c r="BF142" i="5" s="1"/>
  <c r="AA142" i="5"/>
  <c r="BG142" i="5" s="1"/>
  <c r="AB142" i="5"/>
  <c r="BH142" i="5" s="1"/>
  <c r="AC142" i="5"/>
  <c r="BI142" i="5" s="1"/>
  <c r="AD142" i="5"/>
  <c r="BJ142" i="5" s="1"/>
  <c r="AE142" i="5"/>
  <c r="BK142" i="5" s="1"/>
  <c r="AF142" i="5"/>
  <c r="BL142" i="5" s="1"/>
  <c r="AG142" i="5"/>
  <c r="BM142" i="5" s="1"/>
  <c r="U147" i="5"/>
  <c r="V147" i="5"/>
  <c r="W147" i="5"/>
  <c r="X147" i="5"/>
  <c r="Y147" i="5"/>
  <c r="Z147" i="5"/>
  <c r="AA147" i="5"/>
  <c r="AB147" i="5"/>
  <c r="AC147" i="5"/>
  <c r="AD147" i="5"/>
  <c r="AE147" i="5"/>
  <c r="AF147" i="5"/>
  <c r="AG147" i="5"/>
  <c r="D148" i="5"/>
  <c r="V148" i="5"/>
  <c r="W148" i="5"/>
  <c r="BC148" i="5" s="1"/>
  <c r="X148" i="5"/>
  <c r="BD148" i="5" s="1"/>
  <c r="Y148" i="5"/>
  <c r="BE148" i="5" s="1"/>
  <c r="Z148" i="5"/>
  <c r="BF148" i="5" s="1"/>
  <c r="AA148" i="5"/>
  <c r="BG148" i="5" s="1"/>
  <c r="AB148" i="5"/>
  <c r="BH148" i="5" s="1"/>
  <c r="AC148" i="5"/>
  <c r="BI148" i="5" s="1"/>
  <c r="AD148" i="5"/>
  <c r="BJ148" i="5" s="1"/>
  <c r="AE148" i="5"/>
  <c r="BK148" i="5" s="1"/>
  <c r="AF148" i="5"/>
  <c r="BL148" i="5" s="1"/>
  <c r="AG148" i="5"/>
  <c r="BM148" i="5" s="1"/>
  <c r="BB148" i="5"/>
  <c r="D149" i="5"/>
  <c r="V149" i="5"/>
  <c r="BB149" i="5" s="1"/>
  <c r="W149" i="5"/>
  <c r="BC149" i="5" s="1"/>
  <c r="X149" i="5"/>
  <c r="Y149" i="5"/>
  <c r="BE149" i="5" s="1"/>
  <c r="Z149" i="5"/>
  <c r="BF149" i="5" s="1"/>
  <c r="AA149" i="5"/>
  <c r="BG149" i="5" s="1"/>
  <c r="AB149" i="5"/>
  <c r="BH149" i="5" s="1"/>
  <c r="AC149" i="5"/>
  <c r="BI149" i="5" s="1"/>
  <c r="AD149" i="5"/>
  <c r="BJ149" i="5" s="1"/>
  <c r="AE149" i="5"/>
  <c r="BK149" i="5" s="1"/>
  <c r="AF149" i="5"/>
  <c r="BL149" i="5" s="1"/>
  <c r="AG149" i="5"/>
  <c r="BM149" i="5" s="1"/>
  <c r="D150" i="5"/>
  <c r="AK150" i="5" s="1"/>
  <c r="V150" i="5"/>
  <c r="BB150" i="5" s="1"/>
  <c r="W150" i="5"/>
  <c r="X150" i="5"/>
  <c r="BD150" i="5" s="1"/>
  <c r="Y150" i="5"/>
  <c r="BE150" i="5" s="1"/>
  <c r="Z150" i="5"/>
  <c r="AA150" i="5"/>
  <c r="AB150" i="5"/>
  <c r="BH150" i="5" s="1"/>
  <c r="AC150" i="5"/>
  <c r="AD150" i="5"/>
  <c r="BJ150" i="5" s="1"/>
  <c r="AE150" i="5"/>
  <c r="BK150" i="5" s="1"/>
  <c r="AF150" i="5"/>
  <c r="BL150" i="5" s="1"/>
  <c r="AG150" i="5"/>
  <c r="BM150" i="5" s="1"/>
  <c r="D151" i="5"/>
  <c r="V151" i="5"/>
  <c r="BB151" i="5" s="1"/>
  <c r="W151" i="5"/>
  <c r="BC151" i="5" s="1"/>
  <c r="X151" i="5"/>
  <c r="Y151" i="5"/>
  <c r="BE151" i="5" s="1"/>
  <c r="Z151" i="5"/>
  <c r="BF151" i="5" s="1"/>
  <c r="AA151" i="5"/>
  <c r="BG151" i="5" s="1"/>
  <c r="AB151" i="5"/>
  <c r="BH151" i="5" s="1"/>
  <c r="AC151" i="5"/>
  <c r="BI151" i="5" s="1"/>
  <c r="AD151" i="5"/>
  <c r="BJ151" i="5" s="1"/>
  <c r="AE151" i="5"/>
  <c r="BK151" i="5" s="1"/>
  <c r="AF151" i="5"/>
  <c r="BL151" i="5" s="1"/>
  <c r="AG151" i="5"/>
  <c r="BM151" i="5" s="1"/>
  <c r="D152" i="5"/>
  <c r="AK152" i="5" s="1"/>
  <c r="V152" i="5"/>
  <c r="W152" i="5"/>
  <c r="BC152" i="5" s="1"/>
  <c r="X152" i="5"/>
  <c r="BD152" i="5" s="1"/>
  <c r="Y152" i="5"/>
  <c r="BE152" i="5" s="1"/>
  <c r="Z152" i="5"/>
  <c r="BF152" i="5" s="1"/>
  <c r="AA152" i="5"/>
  <c r="BG152" i="5" s="1"/>
  <c r="AB152" i="5"/>
  <c r="BH152" i="5" s="1"/>
  <c r="AC152" i="5"/>
  <c r="BI152" i="5" s="1"/>
  <c r="AD152" i="5"/>
  <c r="BJ152" i="5" s="1"/>
  <c r="AE152" i="5"/>
  <c r="BK152" i="5" s="1"/>
  <c r="AF152" i="5"/>
  <c r="BL152" i="5" s="1"/>
  <c r="AG152" i="5"/>
  <c r="BM152" i="5" s="1"/>
  <c r="D153" i="5"/>
  <c r="AK153" i="5" s="1"/>
  <c r="V153" i="5"/>
  <c r="BB153" i="5" s="1"/>
  <c r="W153" i="5"/>
  <c r="X153" i="5"/>
  <c r="BD153" i="5" s="1"/>
  <c r="Y153" i="5"/>
  <c r="Z153" i="5"/>
  <c r="BF153" i="5" s="1"/>
  <c r="AA153" i="5"/>
  <c r="BG153" i="5" s="1"/>
  <c r="AB153" i="5"/>
  <c r="BH153" i="5" s="1"/>
  <c r="AC153" i="5"/>
  <c r="BI153" i="5" s="1"/>
  <c r="AD153" i="5"/>
  <c r="AE153" i="5"/>
  <c r="BK153" i="5" s="1"/>
  <c r="AF153" i="5"/>
  <c r="BL153" i="5" s="1"/>
  <c r="AG153" i="5"/>
  <c r="D154" i="5"/>
  <c r="AK154" i="5" s="1"/>
  <c r="V154" i="5"/>
  <c r="W154" i="5"/>
  <c r="BC154" i="5" s="1"/>
  <c r="X154" i="5"/>
  <c r="BD154" i="5" s="1"/>
  <c r="Y154" i="5"/>
  <c r="BE154" i="5" s="1"/>
  <c r="Z154" i="5"/>
  <c r="BF154" i="5" s="1"/>
  <c r="AA154" i="5"/>
  <c r="BG154" i="5" s="1"/>
  <c r="AB154" i="5"/>
  <c r="BH154" i="5" s="1"/>
  <c r="AC154" i="5"/>
  <c r="BI154" i="5" s="1"/>
  <c r="AD154" i="5"/>
  <c r="BJ154" i="5" s="1"/>
  <c r="AE154" i="5"/>
  <c r="BK154" i="5" s="1"/>
  <c r="AF154" i="5"/>
  <c r="BL154" i="5" s="1"/>
  <c r="AG154" i="5"/>
  <c r="BM154" i="5" s="1"/>
  <c r="D155" i="5"/>
  <c r="AK155" i="5" s="1"/>
  <c r="V155" i="5"/>
  <c r="W155" i="5"/>
  <c r="BC155" i="5" s="1"/>
  <c r="X155" i="5"/>
  <c r="BD155" i="5" s="1"/>
  <c r="Y155" i="5"/>
  <c r="BE155" i="5" s="1"/>
  <c r="Z155" i="5"/>
  <c r="AA155" i="5"/>
  <c r="AB155" i="5"/>
  <c r="BH155" i="5" s="1"/>
  <c r="AC155" i="5"/>
  <c r="BI155" i="5" s="1"/>
  <c r="AD155" i="5"/>
  <c r="BJ155" i="5" s="1"/>
  <c r="AE155" i="5"/>
  <c r="BK155" i="5" s="1"/>
  <c r="AF155" i="5"/>
  <c r="BL155" i="5" s="1"/>
  <c r="AG155" i="5"/>
  <c r="BM155" i="5" s="1"/>
  <c r="BF155" i="5"/>
  <c r="BG155" i="5"/>
  <c r="D156" i="5"/>
  <c r="AK156" i="5" s="1"/>
  <c r="T156" i="5"/>
  <c r="AJ156" i="5" s="1"/>
  <c r="AZ156" i="5" s="1"/>
  <c r="V156" i="5"/>
  <c r="BB156" i="5" s="1"/>
  <c r="W156" i="5"/>
  <c r="BC156" i="5" s="1"/>
  <c r="X156" i="5"/>
  <c r="Y156" i="5"/>
  <c r="BE156" i="5" s="1"/>
  <c r="Z156" i="5"/>
  <c r="BF156" i="5" s="1"/>
  <c r="AA156" i="5"/>
  <c r="BG156" i="5" s="1"/>
  <c r="AB156" i="5"/>
  <c r="BH156" i="5" s="1"/>
  <c r="AC156" i="5"/>
  <c r="BI156" i="5" s="1"/>
  <c r="AD156" i="5"/>
  <c r="BJ156" i="5" s="1"/>
  <c r="AE156" i="5"/>
  <c r="BK156" i="5" s="1"/>
  <c r="AF156" i="5"/>
  <c r="BL156" i="5" s="1"/>
  <c r="AG156" i="5"/>
  <c r="BM156" i="5" s="1"/>
  <c r="D162" i="5"/>
  <c r="V162" i="5"/>
  <c r="W162" i="5"/>
  <c r="BC162" i="5" s="1"/>
  <c r="X162" i="5"/>
  <c r="BD162" i="5" s="1"/>
  <c r="Y162" i="5"/>
  <c r="BE162" i="5" s="1"/>
  <c r="Z162" i="5"/>
  <c r="BF162" i="5" s="1"/>
  <c r="AA162" i="5"/>
  <c r="BG162" i="5" s="1"/>
  <c r="AB162" i="5"/>
  <c r="BH162" i="5" s="1"/>
  <c r="AC162" i="5"/>
  <c r="BI162" i="5" s="1"/>
  <c r="AD162" i="5"/>
  <c r="BJ162" i="5" s="1"/>
  <c r="AE162" i="5"/>
  <c r="BK162" i="5" s="1"/>
  <c r="AF162" i="5"/>
  <c r="BL162" i="5" s="1"/>
  <c r="AG162" i="5"/>
  <c r="BM162" i="5" s="1"/>
  <c r="D163" i="5"/>
  <c r="V163" i="5"/>
  <c r="W163" i="5"/>
  <c r="BC163" i="5" s="1"/>
  <c r="X163" i="5"/>
  <c r="BD163" i="5" s="1"/>
  <c r="Y163" i="5"/>
  <c r="BE163" i="5" s="1"/>
  <c r="Z163" i="5"/>
  <c r="BF163" i="5" s="1"/>
  <c r="AA163" i="5"/>
  <c r="BG163" i="5" s="1"/>
  <c r="AB163" i="5"/>
  <c r="BH163" i="5" s="1"/>
  <c r="AC163" i="5"/>
  <c r="BI163" i="5" s="1"/>
  <c r="AD163" i="5"/>
  <c r="BJ163" i="5" s="1"/>
  <c r="AE163" i="5"/>
  <c r="AF163" i="5"/>
  <c r="AG163" i="5"/>
  <c r="BM163" i="5" s="1"/>
  <c r="D164" i="5"/>
  <c r="AK164" i="5" s="1"/>
  <c r="V164" i="5"/>
  <c r="W164" i="5"/>
  <c r="BC164" i="5" s="1"/>
  <c r="X164" i="5"/>
  <c r="BD164" i="5" s="1"/>
  <c r="Y164" i="5"/>
  <c r="BE164" i="5" s="1"/>
  <c r="Z164" i="5"/>
  <c r="BF164" i="5" s="1"/>
  <c r="AA164" i="5"/>
  <c r="BG164" i="5" s="1"/>
  <c r="AB164" i="5"/>
  <c r="BH164" i="5" s="1"/>
  <c r="AC164" i="5"/>
  <c r="BI164" i="5" s="1"/>
  <c r="AD164" i="5"/>
  <c r="BJ164" i="5" s="1"/>
  <c r="AE164" i="5"/>
  <c r="BK164" i="5" s="1"/>
  <c r="AF164" i="5"/>
  <c r="BL164" i="5" s="1"/>
  <c r="AG164" i="5"/>
  <c r="BM164" i="5" s="1"/>
  <c r="D165" i="5"/>
  <c r="V165" i="5"/>
  <c r="BB165" i="5" s="1"/>
  <c r="W165" i="5"/>
  <c r="BC165" i="5" s="1"/>
  <c r="X165" i="5"/>
  <c r="BD165" i="5" s="1"/>
  <c r="Y165" i="5"/>
  <c r="BE165" i="5" s="1"/>
  <c r="Z165" i="5"/>
  <c r="BF165" i="5" s="1"/>
  <c r="AA165" i="5"/>
  <c r="BG165" i="5" s="1"/>
  <c r="AB165" i="5"/>
  <c r="BH165" i="5" s="1"/>
  <c r="AC165" i="5"/>
  <c r="BI165" i="5" s="1"/>
  <c r="AD165" i="5"/>
  <c r="BJ165" i="5" s="1"/>
  <c r="AE165" i="5"/>
  <c r="BK165" i="5" s="1"/>
  <c r="AF165" i="5"/>
  <c r="BL165" i="5" s="1"/>
  <c r="AG165" i="5"/>
  <c r="BM165" i="5" s="1"/>
  <c r="D166" i="5"/>
  <c r="AK166" i="5" s="1"/>
  <c r="V166" i="5"/>
  <c r="W166" i="5"/>
  <c r="X166" i="5"/>
  <c r="Y166" i="5"/>
  <c r="Z166" i="5"/>
  <c r="AA166" i="5"/>
  <c r="AB166" i="5"/>
  <c r="AC166" i="5"/>
  <c r="AD166" i="5"/>
  <c r="BJ166" i="5" s="1"/>
  <c r="AE166" i="5"/>
  <c r="BK166" i="5" s="1"/>
  <c r="AF166" i="5"/>
  <c r="BL166" i="5" s="1"/>
  <c r="AG166" i="5"/>
  <c r="BM166" i="5" s="1"/>
  <c r="BB166" i="5"/>
  <c r="BC166" i="5"/>
  <c r="BD166" i="5"/>
  <c r="BE166" i="5"/>
  <c r="BF166" i="5"/>
  <c r="BG166" i="5"/>
  <c r="BH166" i="5"/>
  <c r="BI166" i="5"/>
  <c r="D167" i="5"/>
  <c r="V167" i="5"/>
  <c r="BB167" i="5" s="1"/>
  <c r="W167" i="5"/>
  <c r="BC167" i="5" s="1"/>
  <c r="X167" i="5"/>
  <c r="BD167" i="5" s="1"/>
  <c r="Y167" i="5"/>
  <c r="BE167" i="5" s="1"/>
  <c r="Z167" i="5"/>
  <c r="AA167" i="5"/>
  <c r="BG167" i="5" s="1"/>
  <c r="AB167" i="5"/>
  <c r="BH167" i="5" s="1"/>
  <c r="AC167" i="5"/>
  <c r="AD167" i="5"/>
  <c r="AE167" i="5"/>
  <c r="BK167" i="5" s="1"/>
  <c r="AF167" i="5"/>
  <c r="BL167" i="5" s="1"/>
  <c r="AG167" i="5"/>
  <c r="BM167" i="5" s="1"/>
  <c r="D168" i="5"/>
  <c r="AK168" i="5" s="1"/>
  <c r="V168" i="5"/>
  <c r="BB168" i="5" s="1"/>
  <c r="W168" i="5"/>
  <c r="BC168" i="5" s="1"/>
  <c r="X168" i="5"/>
  <c r="Y168" i="5"/>
  <c r="BE168" i="5" s="1"/>
  <c r="Z168" i="5"/>
  <c r="BF168" i="5" s="1"/>
  <c r="AA168" i="5"/>
  <c r="BG168" i="5" s="1"/>
  <c r="AB168" i="5"/>
  <c r="BH168" i="5" s="1"/>
  <c r="AC168" i="5"/>
  <c r="BI168" i="5" s="1"/>
  <c r="AD168" i="5"/>
  <c r="BJ168" i="5" s="1"/>
  <c r="AE168" i="5"/>
  <c r="BK168" i="5" s="1"/>
  <c r="AF168" i="5"/>
  <c r="BL168" i="5" s="1"/>
  <c r="AG168" i="5"/>
  <c r="BM168" i="5" s="1"/>
  <c r="D169" i="5"/>
  <c r="AK169" i="5" s="1"/>
  <c r="V169" i="5"/>
  <c r="W169" i="5"/>
  <c r="BC169" i="5" s="1"/>
  <c r="X169" i="5"/>
  <c r="BD169" i="5" s="1"/>
  <c r="Y169" i="5"/>
  <c r="BE169" i="5" s="1"/>
  <c r="Z169" i="5"/>
  <c r="BF169" i="5" s="1"/>
  <c r="AA169" i="5"/>
  <c r="BG169" i="5" s="1"/>
  <c r="AB169" i="5"/>
  <c r="BH169" i="5" s="1"/>
  <c r="AC169" i="5"/>
  <c r="BI169" i="5" s="1"/>
  <c r="AD169" i="5"/>
  <c r="BJ169" i="5" s="1"/>
  <c r="AE169" i="5"/>
  <c r="BK169" i="5" s="1"/>
  <c r="AF169" i="5"/>
  <c r="BL169" i="5" s="1"/>
  <c r="AG169" i="5"/>
  <c r="BM169" i="5" s="1"/>
  <c r="D170" i="5"/>
  <c r="AK170" i="5" s="1"/>
  <c r="T170" i="5"/>
  <c r="AJ170" i="5" s="1"/>
  <c r="AZ170" i="5" s="1"/>
  <c r="V170" i="5"/>
  <c r="W170" i="5"/>
  <c r="BC170" i="5" s="1"/>
  <c r="X170" i="5"/>
  <c r="BD170" i="5" s="1"/>
  <c r="Y170" i="5"/>
  <c r="BE170" i="5" s="1"/>
  <c r="Z170" i="5"/>
  <c r="BF170" i="5" s="1"/>
  <c r="AA170" i="5"/>
  <c r="BG170" i="5" s="1"/>
  <c r="AB170" i="5"/>
  <c r="BH170" i="5" s="1"/>
  <c r="AC170" i="5"/>
  <c r="BI170" i="5" s="1"/>
  <c r="AD170" i="5"/>
  <c r="BJ170" i="5" s="1"/>
  <c r="AE170" i="5"/>
  <c r="BK170" i="5" s="1"/>
  <c r="AF170" i="5"/>
  <c r="BL170" i="5" s="1"/>
  <c r="AG170" i="5"/>
  <c r="BM170" i="5" s="1"/>
  <c r="D176" i="5"/>
  <c r="AK176" i="5" s="1"/>
  <c r="V176" i="5"/>
  <c r="W176" i="5"/>
  <c r="BC176" i="5" s="1"/>
  <c r="X176" i="5"/>
  <c r="BD176" i="5" s="1"/>
  <c r="Y176" i="5"/>
  <c r="BE176" i="5" s="1"/>
  <c r="Z176" i="5"/>
  <c r="BF176" i="5" s="1"/>
  <c r="AA176" i="5"/>
  <c r="AB176" i="5"/>
  <c r="BH176" i="5" s="1"/>
  <c r="AC176" i="5"/>
  <c r="BI176" i="5" s="1"/>
  <c r="AD176" i="5"/>
  <c r="BJ176" i="5" s="1"/>
  <c r="AE176" i="5"/>
  <c r="BK176" i="5" s="1"/>
  <c r="AF176" i="5"/>
  <c r="BL176" i="5" s="1"/>
  <c r="AG176" i="5"/>
  <c r="BM176" i="5" s="1"/>
  <c r="D177" i="5"/>
  <c r="AK177" i="5" s="1"/>
  <c r="V177" i="5"/>
  <c r="BB177" i="5" s="1"/>
  <c r="W177" i="5"/>
  <c r="BC177" i="5" s="1"/>
  <c r="X177" i="5"/>
  <c r="BD177" i="5" s="1"/>
  <c r="Y177" i="5"/>
  <c r="BE177" i="5" s="1"/>
  <c r="Z177" i="5"/>
  <c r="BF177" i="5" s="1"/>
  <c r="AA177" i="5"/>
  <c r="BG177" i="5" s="1"/>
  <c r="AB177" i="5"/>
  <c r="BH177" i="5" s="1"/>
  <c r="AC177" i="5"/>
  <c r="BI177" i="5" s="1"/>
  <c r="AD177" i="5"/>
  <c r="BJ177" i="5" s="1"/>
  <c r="AE177" i="5"/>
  <c r="BK177" i="5" s="1"/>
  <c r="AF177" i="5"/>
  <c r="AG177" i="5"/>
  <c r="BM177" i="5" s="1"/>
  <c r="D178" i="5"/>
  <c r="AK178" i="5" s="1"/>
  <c r="V178" i="5"/>
  <c r="W178" i="5"/>
  <c r="BC178" i="5" s="1"/>
  <c r="X178" i="5"/>
  <c r="BD178" i="5" s="1"/>
  <c r="Y178" i="5"/>
  <c r="BE178" i="5" s="1"/>
  <c r="Z178" i="5"/>
  <c r="BF178" i="5" s="1"/>
  <c r="AA178" i="5"/>
  <c r="BG178" i="5" s="1"/>
  <c r="AB178" i="5"/>
  <c r="BH178" i="5" s="1"/>
  <c r="AC178" i="5"/>
  <c r="BI178" i="5" s="1"/>
  <c r="AD178" i="5"/>
  <c r="BJ178" i="5" s="1"/>
  <c r="AE178" i="5"/>
  <c r="BK178" i="5" s="1"/>
  <c r="AF178" i="5"/>
  <c r="BL178" i="5" s="1"/>
  <c r="AG178" i="5"/>
  <c r="BM178" i="5" s="1"/>
  <c r="D179" i="5"/>
  <c r="AK179" i="5" s="1"/>
  <c r="V179" i="5"/>
  <c r="BB179" i="5" s="1"/>
  <c r="W179" i="5"/>
  <c r="BC179" i="5" s="1"/>
  <c r="X179" i="5"/>
  <c r="BD179" i="5" s="1"/>
  <c r="Y179" i="5"/>
  <c r="Z179" i="5"/>
  <c r="BF179" i="5" s="1"/>
  <c r="AA179" i="5"/>
  <c r="BG179" i="5" s="1"/>
  <c r="AB179" i="5"/>
  <c r="BH179" i="5" s="1"/>
  <c r="AC179" i="5"/>
  <c r="BI179" i="5" s="1"/>
  <c r="AD179" i="5"/>
  <c r="BJ179" i="5" s="1"/>
  <c r="AE179" i="5"/>
  <c r="BK179" i="5" s="1"/>
  <c r="AF179" i="5"/>
  <c r="BL179" i="5" s="1"/>
  <c r="AG179" i="5"/>
  <c r="BM179" i="5" s="1"/>
  <c r="D180" i="5"/>
  <c r="T180" i="5"/>
  <c r="AJ180" i="5" s="1"/>
  <c r="AZ180" i="5" s="1"/>
  <c r="V180" i="5"/>
  <c r="W180" i="5"/>
  <c r="BC180" i="5" s="1"/>
  <c r="X180" i="5"/>
  <c r="BD180" i="5" s="1"/>
  <c r="Y180" i="5"/>
  <c r="BE180" i="5" s="1"/>
  <c r="Z180" i="5"/>
  <c r="AA180" i="5"/>
  <c r="BG180" i="5" s="1"/>
  <c r="AB180" i="5"/>
  <c r="BH180" i="5" s="1"/>
  <c r="AC180" i="5"/>
  <c r="BI180" i="5" s="1"/>
  <c r="AD180" i="5"/>
  <c r="BJ180" i="5" s="1"/>
  <c r="AE180" i="5"/>
  <c r="BK180" i="5" s="1"/>
  <c r="AF180" i="5"/>
  <c r="BL180" i="5" s="1"/>
  <c r="AG180" i="5"/>
  <c r="BM180" i="5" s="1"/>
  <c r="D186" i="5"/>
  <c r="AK186" i="5" s="1"/>
  <c r="V186" i="5"/>
  <c r="BB186" i="5" s="1"/>
  <c r="W186" i="5"/>
  <c r="BC186" i="5" s="1"/>
  <c r="X186" i="5"/>
  <c r="BD186" i="5" s="1"/>
  <c r="Y186" i="5"/>
  <c r="BE186" i="5" s="1"/>
  <c r="Z186" i="5"/>
  <c r="BF186" i="5" s="1"/>
  <c r="AA186" i="5"/>
  <c r="BG186" i="5" s="1"/>
  <c r="AB186" i="5"/>
  <c r="BH186" i="5" s="1"/>
  <c r="AC186" i="5"/>
  <c r="BI186" i="5" s="1"/>
  <c r="AD186" i="5"/>
  <c r="BJ186" i="5" s="1"/>
  <c r="AE186" i="5"/>
  <c r="BK186" i="5" s="1"/>
  <c r="AF186" i="5"/>
  <c r="BL186" i="5" s="1"/>
  <c r="AG186" i="5"/>
  <c r="BM186" i="5" s="1"/>
  <c r="D187" i="5"/>
  <c r="AK187" i="5" s="1"/>
  <c r="V187" i="5"/>
  <c r="BB187" i="5" s="1"/>
  <c r="W187" i="5"/>
  <c r="BC187" i="5" s="1"/>
  <c r="X187" i="5"/>
  <c r="Y187" i="5"/>
  <c r="BE187" i="5" s="1"/>
  <c r="Z187" i="5"/>
  <c r="BF187" i="5" s="1"/>
  <c r="AA187" i="5"/>
  <c r="BG187" i="5" s="1"/>
  <c r="AB187" i="5"/>
  <c r="AC187" i="5"/>
  <c r="BI187" i="5" s="1"/>
  <c r="AD187" i="5"/>
  <c r="BJ187" i="5" s="1"/>
  <c r="AE187" i="5"/>
  <c r="BK187" i="5" s="1"/>
  <c r="AF187" i="5"/>
  <c r="BL187" i="5" s="1"/>
  <c r="AG187" i="5"/>
  <c r="BM187" i="5" s="1"/>
  <c r="D188" i="5"/>
  <c r="V188" i="5"/>
  <c r="BB188" i="5" s="1"/>
  <c r="W188" i="5"/>
  <c r="X188" i="5"/>
  <c r="BD188" i="5" s="1"/>
  <c r="Y188" i="5"/>
  <c r="Z188" i="5"/>
  <c r="BF188" i="5" s="1"/>
  <c r="AA188" i="5"/>
  <c r="BG188" i="5" s="1"/>
  <c r="AB188" i="5"/>
  <c r="BH188" i="5" s="1"/>
  <c r="AC188" i="5"/>
  <c r="BI188" i="5" s="1"/>
  <c r="AD188" i="5"/>
  <c r="BJ188" i="5" s="1"/>
  <c r="AE188" i="5"/>
  <c r="BK188" i="5" s="1"/>
  <c r="AF188" i="5"/>
  <c r="BL188" i="5" s="1"/>
  <c r="AG188" i="5"/>
  <c r="BM188" i="5" s="1"/>
  <c r="D189" i="5"/>
  <c r="AK189" i="5" s="1"/>
  <c r="V189" i="5"/>
  <c r="BB189" i="5" s="1"/>
  <c r="W189" i="5"/>
  <c r="BC189" i="5" s="1"/>
  <c r="X189" i="5"/>
  <c r="BD189" i="5" s="1"/>
  <c r="Y189" i="5"/>
  <c r="BE189" i="5" s="1"/>
  <c r="Z189" i="5"/>
  <c r="BF189" i="5" s="1"/>
  <c r="AA189" i="5"/>
  <c r="BG189" i="5" s="1"/>
  <c r="AB189" i="5"/>
  <c r="BH189" i="5" s="1"/>
  <c r="AC189" i="5"/>
  <c r="BI189" i="5" s="1"/>
  <c r="AD189" i="5"/>
  <c r="BJ189" i="5" s="1"/>
  <c r="AE189" i="5"/>
  <c r="BK189" i="5" s="1"/>
  <c r="AF189" i="5"/>
  <c r="BL189" i="5" s="1"/>
  <c r="AG189" i="5"/>
  <c r="BM189" i="5" s="1"/>
  <c r="D190" i="5"/>
  <c r="AK190" i="5" s="1"/>
  <c r="V190" i="5"/>
  <c r="BB190" i="5" s="1"/>
  <c r="W190" i="5"/>
  <c r="BC190" i="5" s="1"/>
  <c r="X190" i="5"/>
  <c r="BD190" i="5" s="1"/>
  <c r="Y190" i="5"/>
  <c r="BE190" i="5" s="1"/>
  <c r="Z190" i="5"/>
  <c r="BF190" i="5" s="1"/>
  <c r="AA190" i="5"/>
  <c r="BG190" i="5" s="1"/>
  <c r="AB190" i="5"/>
  <c r="BH190" i="5" s="1"/>
  <c r="AC190" i="5"/>
  <c r="BI190" i="5" s="1"/>
  <c r="AD190" i="5"/>
  <c r="BJ190" i="5" s="1"/>
  <c r="AE190" i="5"/>
  <c r="BK190" i="5" s="1"/>
  <c r="AF190" i="5"/>
  <c r="BL190" i="5" s="1"/>
  <c r="AG190" i="5"/>
  <c r="BM190" i="5" s="1"/>
  <c r="D191" i="5"/>
  <c r="AK191" i="5" s="1"/>
  <c r="V191" i="5"/>
  <c r="BB191" i="5" s="1"/>
  <c r="W191" i="5"/>
  <c r="BC191" i="5" s="1"/>
  <c r="X191" i="5"/>
  <c r="BD191" i="5" s="1"/>
  <c r="Y191" i="5"/>
  <c r="BE191" i="5" s="1"/>
  <c r="Z191" i="5"/>
  <c r="BF191" i="5" s="1"/>
  <c r="AA191" i="5"/>
  <c r="AB191" i="5"/>
  <c r="BH191" i="5" s="1"/>
  <c r="AC191" i="5"/>
  <c r="BI191" i="5" s="1"/>
  <c r="AD191" i="5"/>
  <c r="AE191" i="5"/>
  <c r="BK191" i="5" s="1"/>
  <c r="AF191" i="5"/>
  <c r="BL191" i="5" s="1"/>
  <c r="AG191" i="5"/>
  <c r="BM191" i="5" s="1"/>
  <c r="D192" i="5"/>
  <c r="AK192" i="5" s="1"/>
  <c r="V192" i="5"/>
  <c r="BB192" i="5" s="1"/>
  <c r="W192" i="5"/>
  <c r="BC192" i="5" s="1"/>
  <c r="X192" i="5"/>
  <c r="BD192" i="5" s="1"/>
  <c r="Y192" i="5"/>
  <c r="BE192" i="5" s="1"/>
  <c r="Z192" i="5"/>
  <c r="AA192" i="5"/>
  <c r="BG192" i="5" s="1"/>
  <c r="AB192" i="5"/>
  <c r="BH192" i="5" s="1"/>
  <c r="AC192" i="5"/>
  <c r="BI192" i="5" s="1"/>
  <c r="AD192" i="5"/>
  <c r="BJ192" i="5" s="1"/>
  <c r="AE192" i="5"/>
  <c r="BK192" i="5" s="1"/>
  <c r="AF192" i="5"/>
  <c r="BL192" i="5" s="1"/>
  <c r="AG192" i="5"/>
  <c r="BM192" i="5" s="1"/>
  <c r="D193" i="5"/>
  <c r="AK193" i="5" s="1"/>
  <c r="V193" i="5"/>
  <c r="BB193" i="5" s="1"/>
  <c r="W193" i="5"/>
  <c r="BC193" i="5" s="1"/>
  <c r="X193" i="5"/>
  <c r="BD193" i="5" s="1"/>
  <c r="Y193" i="5"/>
  <c r="BE193" i="5" s="1"/>
  <c r="Z193" i="5"/>
  <c r="BF193" i="5" s="1"/>
  <c r="AA193" i="5"/>
  <c r="BG193" i="5" s="1"/>
  <c r="AB193" i="5"/>
  <c r="BH193" i="5" s="1"/>
  <c r="AC193" i="5"/>
  <c r="BI193" i="5" s="1"/>
  <c r="AD193" i="5"/>
  <c r="BJ193" i="5" s="1"/>
  <c r="AE193" i="5"/>
  <c r="BK193" i="5" s="1"/>
  <c r="AF193" i="5"/>
  <c r="BL193" i="5" s="1"/>
  <c r="AG193" i="5"/>
  <c r="BM193" i="5" s="1"/>
  <c r="D194" i="5"/>
  <c r="AK194" i="5" s="1"/>
  <c r="T194" i="5"/>
  <c r="AJ194" i="5" s="1"/>
  <c r="AZ194" i="5" s="1"/>
  <c r="V194" i="5"/>
  <c r="W194" i="5"/>
  <c r="BC194" i="5" s="1"/>
  <c r="X194" i="5"/>
  <c r="BD194" i="5" s="1"/>
  <c r="Y194" i="5"/>
  <c r="BE194" i="5" s="1"/>
  <c r="Z194" i="5"/>
  <c r="BF194" i="5" s="1"/>
  <c r="AA194" i="5"/>
  <c r="BG194" i="5" s="1"/>
  <c r="AB194" i="5"/>
  <c r="BH194" i="5" s="1"/>
  <c r="AC194" i="5"/>
  <c r="BI194" i="5" s="1"/>
  <c r="AD194" i="5"/>
  <c r="BJ194" i="5" s="1"/>
  <c r="AE194" i="5"/>
  <c r="BK194" i="5" s="1"/>
  <c r="AF194" i="5"/>
  <c r="BL194" i="5" s="1"/>
  <c r="AG194" i="5"/>
  <c r="BM194" i="5" s="1"/>
  <c r="E9" i="3"/>
  <c r="CK31" i="3" s="1"/>
  <c r="F9" i="3"/>
  <c r="CL53" i="3" s="1"/>
  <c r="G9" i="3"/>
  <c r="CM31" i="3" s="1"/>
  <c r="H9" i="3"/>
  <c r="CN31" i="3" s="1"/>
  <c r="I9" i="3"/>
  <c r="I24" i="5" s="1"/>
  <c r="I44" i="5" s="1"/>
  <c r="I45" i="5" s="1"/>
  <c r="J9" i="3"/>
  <c r="CP31" i="3" s="1"/>
  <c r="K9" i="3"/>
  <c r="CQ97" i="3" s="1"/>
  <c r="L9" i="3"/>
  <c r="CR53" i="3" s="1"/>
  <c r="M9" i="3"/>
  <c r="CS53" i="3" s="1"/>
  <c r="N9" i="3"/>
  <c r="CT31" i="3" s="1"/>
  <c r="O9" i="3"/>
  <c r="CU97" i="3" s="1"/>
  <c r="P9" i="3"/>
  <c r="CV31" i="3" s="1"/>
  <c r="E10" i="3"/>
  <c r="CK54" i="3" s="1"/>
  <c r="BZ12" i="4" s="1"/>
  <c r="F10" i="3"/>
  <c r="CL98" i="3" s="1"/>
  <c r="G10" i="3"/>
  <c r="CM120" i="3" s="1"/>
  <c r="H10" i="3"/>
  <c r="H48" i="5" s="1"/>
  <c r="H54" i="5" s="1"/>
  <c r="H55" i="5" s="1"/>
  <c r="I10" i="3"/>
  <c r="CO32" i="3" s="1"/>
  <c r="J10" i="3"/>
  <c r="CP76" i="3" s="1"/>
  <c r="K10" i="3"/>
  <c r="CQ76" i="3" s="1"/>
  <c r="L10" i="3"/>
  <c r="CR120" i="3" s="1"/>
  <c r="M10" i="3"/>
  <c r="CS32" i="3" s="1"/>
  <c r="N10" i="3"/>
  <c r="N48" i="5" s="1"/>
  <c r="AE48" i="5" s="1"/>
  <c r="O10" i="3"/>
  <c r="CU54" i="3" s="1"/>
  <c r="CJ12" i="4" s="1"/>
  <c r="P10" i="3"/>
  <c r="CV54" i="3" s="1"/>
  <c r="CK12" i="4" s="1"/>
  <c r="E11" i="3"/>
  <c r="CK55" i="3" s="1"/>
  <c r="F11" i="3"/>
  <c r="CL121" i="3" s="1"/>
  <c r="G11" i="3"/>
  <c r="G9" i="5" s="1"/>
  <c r="H11" i="3"/>
  <c r="H9" i="5" s="1"/>
  <c r="I11" i="3"/>
  <c r="CO77" i="3" s="1"/>
  <c r="J11" i="3"/>
  <c r="CP99" i="3" s="1"/>
  <c r="K11" i="3"/>
  <c r="CQ55" i="3" s="1"/>
  <c r="L11" i="3"/>
  <c r="L9" i="5" s="1"/>
  <c r="M11" i="3"/>
  <c r="CS55" i="3" s="1"/>
  <c r="N11" i="3"/>
  <c r="CT55" i="3" s="1"/>
  <c r="O11" i="3"/>
  <c r="CU55" i="3" s="1"/>
  <c r="P11" i="3"/>
  <c r="CV77" i="3" s="1"/>
  <c r="E12" i="3"/>
  <c r="CK144" i="3" s="1"/>
  <c r="F12" i="3"/>
  <c r="CL78" i="3" s="1"/>
  <c r="G12" i="3"/>
  <c r="CM78" i="3" s="1"/>
  <c r="H12" i="3"/>
  <c r="CN34" i="3" s="1"/>
  <c r="I12" i="3"/>
  <c r="CO56" i="3" s="1"/>
  <c r="J12" i="3"/>
  <c r="CP34" i="3" s="1"/>
  <c r="K12" i="3"/>
  <c r="CQ34" i="3" s="1"/>
  <c r="L12" i="3"/>
  <c r="CR78" i="3" s="1"/>
  <c r="M12" i="3"/>
  <c r="CS56" i="3" s="1"/>
  <c r="N12" i="3"/>
  <c r="CT122" i="3" s="1"/>
  <c r="O12" i="3"/>
  <c r="CU56" i="3" s="1"/>
  <c r="P12" i="3"/>
  <c r="CV34" i="3" s="1"/>
  <c r="E13" i="3"/>
  <c r="E11" i="5" s="1"/>
  <c r="F13" i="3"/>
  <c r="CL79" i="3" s="1"/>
  <c r="G13" i="3"/>
  <c r="CM101" i="3" s="1"/>
  <c r="H13" i="3"/>
  <c r="H11" i="5" s="1"/>
  <c r="I13" i="3"/>
  <c r="I11" i="5" s="1"/>
  <c r="J13" i="3"/>
  <c r="CP35" i="3" s="1"/>
  <c r="K13" i="3"/>
  <c r="K83" i="5" s="1"/>
  <c r="K105" i="5" s="1"/>
  <c r="K106" i="5" s="1"/>
  <c r="L13" i="3"/>
  <c r="CR123" i="3" s="1"/>
  <c r="M13" i="3"/>
  <c r="CS57" i="3" s="1"/>
  <c r="N13" i="3"/>
  <c r="CT123" i="3" s="1"/>
  <c r="O13" i="3"/>
  <c r="CU101" i="3" s="1"/>
  <c r="P13" i="3"/>
  <c r="CV101" i="3" s="1"/>
  <c r="E14" i="3"/>
  <c r="E12" i="5" s="1"/>
  <c r="F14" i="3"/>
  <c r="CL80" i="3" s="1"/>
  <c r="G14" i="3"/>
  <c r="CM80" i="3" s="1"/>
  <c r="H14" i="3"/>
  <c r="CN58" i="3" s="1"/>
  <c r="I14" i="3"/>
  <c r="CO102" i="3" s="1"/>
  <c r="J14" i="3"/>
  <c r="CP58" i="3" s="1"/>
  <c r="K14" i="3"/>
  <c r="K109" i="5" s="1"/>
  <c r="AR109" i="5" s="1"/>
  <c r="BH109" i="5" s="1"/>
  <c r="AR117" i="5" s="1"/>
  <c r="AR12" i="5" s="1"/>
  <c r="L14" i="3"/>
  <c r="CR58" i="3" s="1"/>
  <c r="M14" i="3"/>
  <c r="CS36" i="3" s="1"/>
  <c r="N14" i="3"/>
  <c r="CT146" i="3" s="1"/>
  <c r="O14" i="3"/>
  <c r="CU36" i="3" s="1"/>
  <c r="P14" i="3"/>
  <c r="CV80" i="3" s="1"/>
  <c r="E15" i="3"/>
  <c r="CK81" i="3" s="1"/>
  <c r="F15" i="3"/>
  <c r="CL81" i="3" s="1"/>
  <c r="G15" i="3"/>
  <c r="CM81" i="3" s="1"/>
  <c r="H15" i="3"/>
  <c r="CN37" i="3" s="1"/>
  <c r="I15" i="3"/>
  <c r="CO81" i="3" s="1"/>
  <c r="J15" i="3"/>
  <c r="CP147" i="3" s="1"/>
  <c r="K15" i="3"/>
  <c r="CQ81" i="3" s="1"/>
  <c r="L15" i="3"/>
  <c r="L13" i="5" s="1"/>
  <c r="M15" i="3"/>
  <c r="CS103" i="3" s="1"/>
  <c r="N15" i="3"/>
  <c r="CT59" i="3" s="1"/>
  <c r="O15" i="3"/>
  <c r="CU37" i="3" s="1"/>
  <c r="P15" i="3"/>
  <c r="CV59" i="3" s="1"/>
  <c r="E16" i="3"/>
  <c r="E14" i="5" s="1"/>
  <c r="F16" i="3"/>
  <c r="CL104" i="3" s="1"/>
  <c r="G16" i="3"/>
  <c r="CM148" i="3" s="1"/>
  <c r="H16" i="3"/>
  <c r="CN82" i="3" s="1"/>
  <c r="I16" i="3"/>
  <c r="CO104" i="3" s="1"/>
  <c r="J16" i="3"/>
  <c r="CP104" i="3" s="1"/>
  <c r="K16" i="3"/>
  <c r="CQ82" i="3" s="1"/>
  <c r="L16" i="3"/>
  <c r="CR60" i="3" s="1"/>
  <c r="M16" i="3"/>
  <c r="M137" i="5" s="1"/>
  <c r="N16" i="3"/>
  <c r="CT82" i="3" s="1"/>
  <c r="O16" i="3"/>
  <c r="CU38" i="3" s="1"/>
  <c r="P16" i="3"/>
  <c r="CV82" i="3" s="1"/>
  <c r="E17" i="3"/>
  <c r="CK61" i="3" s="1"/>
  <c r="F17" i="3"/>
  <c r="F15" i="5" s="1"/>
  <c r="G17" i="3"/>
  <c r="CM127" i="3" s="1"/>
  <c r="H17" i="3"/>
  <c r="CN61" i="3" s="1"/>
  <c r="I17" i="3"/>
  <c r="CO61" i="3" s="1"/>
  <c r="J17" i="3"/>
  <c r="CP149" i="3" s="1"/>
  <c r="K17" i="3"/>
  <c r="CQ83" i="3" s="1"/>
  <c r="L17" i="3"/>
  <c r="CR105" i="3" s="1"/>
  <c r="M17" i="3"/>
  <c r="M15" i="5" s="1"/>
  <c r="N17" i="3"/>
  <c r="CT127" i="3" s="1"/>
  <c r="O17" i="3"/>
  <c r="CU39" i="3" s="1"/>
  <c r="P17" i="3"/>
  <c r="CV61" i="3" s="1"/>
  <c r="E18" i="3"/>
  <c r="CK106" i="3" s="1"/>
  <c r="F18" i="3"/>
  <c r="CL128" i="3" s="1"/>
  <c r="G18" i="3"/>
  <c r="CM84" i="3" s="1"/>
  <c r="H18" i="3"/>
  <c r="CN128" i="3" s="1"/>
  <c r="I18" i="3"/>
  <c r="CO150" i="3" s="1"/>
  <c r="J18" i="3"/>
  <c r="CP106" i="3" s="1"/>
  <c r="K18" i="3"/>
  <c r="CQ62" i="3" s="1"/>
  <c r="L18" i="3"/>
  <c r="CR84" i="3" s="1"/>
  <c r="M18" i="3"/>
  <c r="M16" i="5" s="1"/>
  <c r="N18" i="3"/>
  <c r="CT128" i="3" s="1"/>
  <c r="O18" i="3"/>
  <c r="CU150" i="3" s="1"/>
  <c r="P18" i="3"/>
  <c r="P161" i="5" s="1"/>
  <c r="AG161" i="5" s="1"/>
  <c r="E19" i="3"/>
  <c r="CK151" i="3" s="1"/>
  <c r="F19" i="3"/>
  <c r="CL85" i="3" s="1"/>
  <c r="G19" i="3"/>
  <c r="CM129" i="3" s="1"/>
  <c r="H19" i="3"/>
  <c r="CN41" i="3" s="1"/>
  <c r="I19" i="3"/>
  <c r="CO85" i="3" s="1"/>
  <c r="J19" i="3"/>
  <c r="J17" i="5" s="1"/>
  <c r="K19" i="3"/>
  <c r="K17" i="5" s="1"/>
  <c r="L19" i="3"/>
  <c r="CR63" i="3" s="1"/>
  <c r="M19" i="3"/>
  <c r="M17" i="5" s="1"/>
  <c r="N19" i="3"/>
  <c r="CT107" i="3" s="1"/>
  <c r="O19" i="3"/>
  <c r="CU151" i="3" s="1"/>
  <c r="P19" i="3"/>
  <c r="CV63" i="3" s="1"/>
  <c r="E20" i="3"/>
  <c r="CK64" i="3" s="1"/>
  <c r="F20" i="3"/>
  <c r="CL86" i="3" s="1"/>
  <c r="G20" i="3"/>
  <c r="CM42" i="3" s="1"/>
  <c r="H20" i="3"/>
  <c r="H18" i="5" s="1"/>
  <c r="I20" i="3"/>
  <c r="CO42" i="3" s="1"/>
  <c r="J20" i="3"/>
  <c r="J185" i="5" s="1"/>
  <c r="AQ185" i="5" s="1"/>
  <c r="BG185" i="5" s="1"/>
  <c r="AQ195" i="5" s="1"/>
  <c r="AQ18" i="5" s="1"/>
  <c r="K20" i="3"/>
  <c r="CQ130" i="3" s="1"/>
  <c r="L20" i="3"/>
  <c r="L18" i="5" s="1"/>
  <c r="M20" i="3"/>
  <c r="CS42" i="3" s="1"/>
  <c r="N20" i="3"/>
  <c r="N185" i="5" s="1"/>
  <c r="O20" i="3"/>
  <c r="CU152" i="3" s="1"/>
  <c r="P20" i="3"/>
  <c r="CV130" i="3" s="1"/>
  <c r="B23" i="3"/>
  <c r="AE2" i="3" s="1"/>
  <c r="D23" i="3"/>
  <c r="C25" i="3"/>
  <c r="D38" i="3" s="1"/>
  <c r="C38" i="3" s="1"/>
  <c r="CR32" i="3"/>
  <c r="CO34" i="3"/>
  <c r="E43" i="3"/>
  <c r="F43" i="3"/>
  <c r="G43" i="3"/>
  <c r="H43" i="3"/>
  <c r="I43" i="3"/>
  <c r="J43" i="3"/>
  <c r="K43" i="3"/>
  <c r="L43" i="3"/>
  <c r="M43" i="3"/>
  <c r="N43" i="3"/>
  <c r="O43" i="3"/>
  <c r="P43" i="3"/>
  <c r="D45" i="3"/>
  <c r="C47" i="3"/>
  <c r="D56" i="3" s="1"/>
  <c r="E65" i="3"/>
  <c r="F65" i="3"/>
  <c r="G65" i="3"/>
  <c r="H65" i="3"/>
  <c r="I65" i="3"/>
  <c r="J65" i="3"/>
  <c r="K65" i="3"/>
  <c r="L65" i="3"/>
  <c r="M65" i="3"/>
  <c r="N65" i="3"/>
  <c r="O65" i="3"/>
  <c r="P65" i="3"/>
  <c r="D67" i="3"/>
  <c r="T67" i="3"/>
  <c r="D4" i="7" s="1"/>
  <c r="Z3" i="7" s="1"/>
  <c r="C69" i="3"/>
  <c r="D83" i="3" s="1"/>
  <c r="C83" i="3" s="1"/>
  <c r="W75" i="3"/>
  <c r="X75" i="3"/>
  <c r="Y75" i="3"/>
  <c r="Z75" i="3"/>
  <c r="AA75" i="3"/>
  <c r="AB75" i="3"/>
  <c r="AC75" i="3"/>
  <c r="AD75" i="3"/>
  <c r="AE75" i="3"/>
  <c r="AF75" i="3"/>
  <c r="AG75" i="3"/>
  <c r="AH75" i="3"/>
  <c r="W76" i="3"/>
  <c r="X76" i="3"/>
  <c r="Y76" i="3"/>
  <c r="Z76" i="3"/>
  <c r="AA76" i="3"/>
  <c r="AB76" i="3"/>
  <c r="AC76" i="3"/>
  <c r="AD76" i="3"/>
  <c r="AE76" i="3"/>
  <c r="AF76" i="3"/>
  <c r="AG76" i="3"/>
  <c r="AH76" i="3"/>
  <c r="W77" i="3"/>
  <c r="X77" i="3"/>
  <c r="Y77" i="3"/>
  <c r="Z77" i="3"/>
  <c r="AA77" i="3"/>
  <c r="AB77" i="3"/>
  <c r="AC77" i="3"/>
  <c r="AD77" i="3"/>
  <c r="AE77" i="3"/>
  <c r="AF77" i="3"/>
  <c r="AG77" i="3"/>
  <c r="AH77" i="3"/>
  <c r="W78" i="3"/>
  <c r="X78" i="3"/>
  <c r="Y78" i="3"/>
  <c r="Z78" i="3"/>
  <c r="AA78" i="3"/>
  <c r="AB78" i="3"/>
  <c r="AC78" i="3"/>
  <c r="AD78" i="3"/>
  <c r="AE78" i="3"/>
  <c r="AF78" i="3"/>
  <c r="AG78" i="3"/>
  <c r="AH78" i="3"/>
  <c r="W79" i="3"/>
  <c r="X79" i="3"/>
  <c r="Y79" i="3"/>
  <c r="Z79" i="3"/>
  <c r="AA79" i="3"/>
  <c r="AB79" i="3"/>
  <c r="AC79" i="3"/>
  <c r="AD79" i="3"/>
  <c r="AE79" i="3"/>
  <c r="AF79" i="3"/>
  <c r="AG79" i="3"/>
  <c r="AH79" i="3"/>
  <c r="W80" i="3"/>
  <c r="X80" i="3"/>
  <c r="Y80" i="3"/>
  <c r="Z80" i="3"/>
  <c r="AA80" i="3"/>
  <c r="AB80" i="3"/>
  <c r="AC80" i="3"/>
  <c r="AD80" i="3"/>
  <c r="AE80" i="3"/>
  <c r="AF80" i="3"/>
  <c r="AG80" i="3"/>
  <c r="AH80" i="3"/>
  <c r="W81" i="3"/>
  <c r="X81" i="3"/>
  <c r="Y81" i="3"/>
  <c r="Z81" i="3"/>
  <c r="AA81" i="3"/>
  <c r="AB81" i="3"/>
  <c r="AC81" i="3"/>
  <c r="AD81" i="3"/>
  <c r="AE81" i="3"/>
  <c r="AF81" i="3"/>
  <c r="AG81" i="3"/>
  <c r="AH81" i="3"/>
  <c r="W82" i="3"/>
  <c r="X82" i="3"/>
  <c r="Y82" i="3"/>
  <c r="Z82" i="3"/>
  <c r="AA82" i="3"/>
  <c r="AB82" i="3"/>
  <c r="AC82" i="3"/>
  <c r="AD82" i="3"/>
  <c r="AE82" i="3"/>
  <c r="AF82" i="3"/>
  <c r="AG82" i="3"/>
  <c r="AH82" i="3"/>
  <c r="W83" i="3"/>
  <c r="X83" i="3"/>
  <c r="Y83" i="3"/>
  <c r="Z83" i="3"/>
  <c r="AA83" i="3"/>
  <c r="AB83" i="3"/>
  <c r="AC83" i="3"/>
  <c r="AD83" i="3"/>
  <c r="AE83" i="3"/>
  <c r="AF83" i="3"/>
  <c r="AG83" i="3"/>
  <c r="AH83" i="3"/>
  <c r="W84" i="3"/>
  <c r="X84" i="3"/>
  <c r="Y84" i="3"/>
  <c r="Z84" i="3"/>
  <c r="AA84" i="3"/>
  <c r="AB84" i="3"/>
  <c r="AC84" i="3"/>
  <c r="AD84" i="3"/>
  <c r="AE84" i="3"/>
  <c r="AF84" i="3"/>
  <c r="AG84" i="3"/>
  <c r="AH84" i="3"/>
  <c r="W85" i="3"/>
  <c r="X85" i="3"/>
  <c r="Y85" i="3"/>
  <c r="Z85" i="3"/>
  <c r="AA85" i="3"/>
  <c r="AB85" i="3"/>
  <c r="AC85" i="3"/>
  <c r="AD85" i="3"/>
  <c r="AE85" i="3"/>
  <c r="AF85" i="3"/>
  <c r="AG85" i="3"/>
  <c r="AH85" i="3"/>
  <c r="W86" i="3"/>
  <c r="X86" i="3"/>
  <c r="Y86" i="3"/>
  <c r="Z86" i="3"/>
  <c r="AA86" i="3"/>
  <c r="AB86" i="3"/>
  <c r="AC86" i="3"/>
  <c r="AD86" i="3"/>
  <c r="AE86" i="3"/>
  <c r="AF86" i="3"/>
  <c r="AG86" i="3"/>
  <c r="AH86" i="3"/>
  <c r="E87" i="3"/>
  <c r="F87" i="3"/>
  <c r="G87" i="3"/>
  <c r="H87" i="3"/>
  <c r="I87" i="3"/>
  <c r="J87" i="3"/>
  <c r="K87" i="3"/>
  <c r="L87" i="3"/>
  <c r="M87" i="3"/>
  <c r="N87" i="3"/>
  <c r="O87" i="3"/>
  <c r="P87" i="3"/>
  <c r="D89" i="3"/>
  <c r="T89" i="3"/>
  <c r="G4" i="7" s="1"/>
  <c r="C91" i="3"/>
  <c r="W97" i="3"/>
  <c r="X97" i="3"/>
  <c r="Y97" i="3"/>
  <c r="Z97" i="3"/>
  <c r="AA97" i="3"/>
  <c r="AB97" i="3"/>
  <c r="AC97" i="3"/>
  <c r="AD97" i="3"/>
  <c r="AE97" i="3"/>
  <c r="AF97" i="3"/>
  <c r="AG97" i="3"/>
  <c r="AH97" i="3"/>
  <c r="CK97" i="3"/>
  <c r="W98" i="3"/>
  <c r="X98" i="3"/>
  <c r="Y98" i="3"/>
  <c r="Z98" i="3"/>
  <c r="AA98" i="3"/>
  <c r="AB98" i="3"/>
  <c r="AC98" i="3"/>
  <c r="AD98" i="3"/>
  <c r="AE98" i="3"/>
  <c r="AF98" i="3"/>
  <c r="AG98" i="3"/>
  <c r="AH98" i="3"/>
  <c r="W99" i="3"/>
  <c r="X99" i="3"/>
  <c r="Y99" i="3"/>
  <c r="Z99" i="3"/>
  <c r="AA99" i="3"/>
  <c r="AB99" i="3"/>
  <c r="AC99" i="3"/>
  <c r="AD99" i="3"/>
  <c r="AE99" i="3"/>
  <c r="AF99" i="3"/>
  <c r="AG99" i="3"/>
  <c r="AH99" i="3"/>
  <c r="W100" i="3"/>
  <c r="X100" i="3"/>
  <c r="Y100" i="3"/>
  <c r="Z100" i="3"/>
  <c r="AA100" i="3"/>
  <c r="AB100" i="3"/>
  <c r="AC100" i="3"/>
  <c r="AD100" i="3"/>
  <c r="AE100" i="3"/>
  <c r="AF100" i="3"/>
  <c r="AG100" i="3"/>
  <c r="AH100" i="3"/>
  <c r="W101" i="3"/>
  <c r="X101" i="3"/>
  <c r="Y101" i="3"/>
  <c r="Z101" i="3"/>
  <c r="AA101" i="3"/>
  <c r="AB101" i="3"/>
  <c r="AC101" i="3"/>
  <c r="AD101" i="3"/>
  <c r="AE101" i="3"/>
  <c r="AF101" i="3"/>
  <c r="AG101" i="3"/>
  <c r="AH101" i="3"/>
  <c r="W102" i="3"/>
  <c r="X102" i="3"/>
  <c r="Y102" i="3"/>
  <c r="Z102" i="3"/>
  <c r="AA102" i="3"/>
  <c r="AB102" i="3"/>
  <c r="AC102" i="3"/>
  <c r="AD102" i="3"/>
  <c r="AE102" i="3"/>
  <c r="AF102" i="3"/>
  <c r="AG102" i="3"/>
  <c r="AH102" i="3"/>
  <c r="W103" i="3"/>
  <c r="X103" i="3"/>
  <c r="Y103" i="3"/>
  <c r="Z103" i="3"/>
  <c r="AA103" i="3"/>
  <c r="AB103" i="3"/>
  <c r="AC103" i="3"/>
  <c r="AD103" i="3"/>
  <c r="AE103" i="3"/>
  <c r="AF103" i="3"/>
  <c r="AG103" i="3"/>
  <c r="AH103" i="3"/>
  <c r="W104" i="3"/>
  <c r="X104" i="3"/>
  <c r="Y104" i="3"/>
  <c r="Z104" i="3"/>
  <c r="AA104" i="3"/>
  <c r="AB104" i="3"/>
  <c r="AC104" i="3"/>
  <c r="AD104" i="3"/>
  <c r="AE104" i="3"/>
  <c r="AF104" i="3"/>
  <c r="AG104" i="3"/>
  <c r="AH104" i="3"/>
  <c r="W105" i="3"/>
  <c r="X105" i="3"/>
  <c r="Y105" i="3"/>
  <c r="Z105" i="3"/>
  <c r="AA105" i="3"/>
  <c r="AB105" i="3"/>
  <c r="AC105" i="3"/>
  <c r="AD105" i="3"/>
  <c r="AE105" i="3"/>
  <c r="AF105" i="3"/>
  <c r="AG105" i="3"/>
  <c r="AH105" i="3"/>
  <c r="W106" i="3"/>
  <c r="X106" i="3"/>
  <c r="Y106" i="3"/>
  <c r="Z106" i="3"/>
  <c r="AA106" i="3"/>
  <c r="AB106" i="3"/>
  <c r="AC106" i="3"/>
  <c r="AD106" i="3"/>
  <c r="AE106" i="3"/>
  <c r="AF106" i="3"/>
  <c r="AG106" i="3"/>
  <c r="AH106" i="3"/>
  <c r="W107" i="3"/>
  <c r="X107" i="3"/>
  <c r="Y107" i="3"/>
  <c r="Z107" i="3"/>
  <c r="AA107" i="3"/>
  <c r="AB107" i="3"/>
  <c r="AC107" i="3"/>
  <c r="AD107" i="3"/>
  <c r="AE107" i="3"/>
  <c r="AF107" i="3"/>
  <c r="AG107" i="3"/>
  <c r="AH107" i="3"/>
  <c r="W108" i="3"/>
  <c r="X108" i="3"/>
  <c r="Y108" i="3"/>
  <c r="Z108" i="3"/>
  <c r="AA108" i="3"/>
  <c r="AB108" i="3"/>
  <c r="AC108" i="3"/>
  <c r="AD108" i="3"/>
  <c r="AE108" i="3"/>
  <c r="AF108" i="3"/>
  <c r="AG108" i="3"/>
  <c r="AH108" i="3"/>
  <c r="E109" i="3"/>
  <c r="F109" i="3"/>
  <c r="G109" i="3"/>
  <c r="H109" i="3"/>
  <c r="I109" i="3"/>
  <c r="J109" i="3"/>
  <c r="K109" i="3"/>
  <c r="L109" i="3"/>
  <c r="M109" i="3"/>
  <c r="N109" i="3"/>
  <c r="O109" i="3"/>
  <c r="P109" i="3"/>
  <c r="B111" i="3"/>
  <c r="AM2" i="3" s="1"/>
  <c r="D111" i="3"/>
  <c r="T111" i="3"/>
  <c r="J4" i="7" s="1"/>
  <c r="AL3" i="7" s="1"/>
  <c r="CK111" i="3"/>
  <c r="CK133" i="3" s="1"/>
  <c r="C113" i="3"/>
  <c r="D122" i="3" s="1"/>
  <c r="W119" i="3"/>
  <c r="X119" i="3"/>
  <c r="Y119" i="3"/>
  <c r="Z119" i="3"/>
  <c r="AA119" i="3"/>
  <c r="AB119" i="3"/>
  <c r="AC119" i="3"/>
  <c r="AD119" i="3"/>
  <c r="AE119" i="3"/>
  <c r="AF119" i="3"/>
  <c r="AG119" i="3"/>
  <c r="AH119" i="3"/>
  <c r="W120" i="3"/>
  <c r="X120" i="3"/>
  <c r="Y120" i="3"/>
  <c r="Z120" i="3"/>
  <c r="AA120" i="3"/>
  <c r="AB120" i="3"/>
  <c r="AC120" i="3"/>
  <c r="AD120" i="3"/>
  <c r="AE120" i="3"/>
  <c r="AF120" i="3"/>
  <c r="AG120" i="3"/>
  <c r="AH120" i="3"/>
  <c r="W121" i="3"/>
  <c r="X121" i="3"/>
  <c r="Y121" i="3"/>
  <c r="Z121" i="3"/>
  <c r="AA121" i="3"/>
  <c r="AB121" i="3"/>
  <c r="AC121" i="3"/>
  <c r="AD121" i="3"/>
  <c r="AE121" i="3"/>
  <c r="AF121" i="3"/>
  <c r="AG121" i="3"/>
  <c r="AH121" i="3"/>
  <c r="W122" i="3"/>
  <c r="X122" i="3"/>
  <c r="Y122" i="3"/>
  <c r="Z122" i="3"/>
  <c r="AA122" i="3"/>
  <c r="AB122" i="3"/>
  <c r="AC122" i="3"/>
  <c r="AD122" i="3"/>
  <c r="AE122" i="3"/>
  <c r="AF122" i="3"/>
  <c r="AG122" i="3"/>
  <c r="AH122" i="3"/>
  <c r="W123" i="3"/>
  <c r="X123" i="3"/>
  <c r="Y123" i="3"/>
  <c r="Z123" i="3"/>
  <c r="AA123" i="3"/>
  <c r="AB123" i="3"/>
  <c r="AC123" i="3"/>
  <c r="AD123" i="3"/>
  <c r="AE123" i="3"/>
  <c r="AF123" i="3"/>
  <c r="AG123" i="3"/>
  <c r="AH123" i="3"/>
  <c r="W124" i="3"/>
  <c r="X124" i="3"/>
  <c r="Y124" i="3"/>
  <c r="Z124" i="3"/>
  <c r="AA124" i="3"/>
  <c r="AB124" i="3"/>
  <c r="AC124" i="3"/>
  <c r="AD124" i="3"/>
  <c r="AE124" i="3"/>
  <c r="AF124" i="3"/>
  <c r="AG124" i="3"/>
  <c r="AH124" i="3"/>
  <c r="W125" i="3"/>
  <c r="X125" i="3"/>
  <c r="Y125" i="3"/>
  <c r="Z125" i="3"/>
  <c r="AA125" i="3"/>
  <c r="AB125" i="3"/>
  <c r="AC125" i="3"/>
  <c r="AD125" i="3"/>
  <c r="AE125" i="3"/>
  <c r="AF125" i="3"/>
  <c r="AG125" i="3"/>
  <c r="AH125" i="3"/>
  <c r="W126" i="3"/>
  <c r="X126" i="3"/>
  <c r="Y126" i="3"/>
  <c r="Z126" i="3"/>
  <c r="AA126" i="3"/>
  <c r="AB126" i="3"/>
  <c r="AC126" i="3"/>
  <c r="AD126" i="3"/>
  <c r="AE126" i="3"/>
  <c r="AF126" i="3"/>
  <c r="AG126" i="3"/>
  <c r="AH126" i="3"/>
  <c r="W127" i="3"/>
  <c r="X127" i="3"/>
  <c r="Y127" i="3"/>
  <c r="Z127" i="3"/>
  <c r="AA127" i="3"/>
  <c r="AB127" i="3"/>
  <c r="AC127" i="3"/>
  <c r="AD127" i="3"/>
  <c r="AE127" i="3"/>
  <c r="AF127" i="3"/>
  <c r="AG127" i="3"/>
  <c r="AH127" i="3"/>
  <c r="W128" i="3"/>
  <c r="X128" i="3"/>
  <c r="Y128" i="3"/>
  <c r="Z128" i="3"/>
  <c r="AA128" i="3"/>
  <c r="AB128" i="3"/>
  <c r="AC128" i="3"/>
  <c r="AD128" i="3"/>
  <c r="AE128" i="3"/>
  <c r="AF128" i="3"/>
  <c r="AG128" i="3"/>
  <c r="AH128" i="3"/>
  <c r="W129" i="3"/>
  <c r="X129" i="3"/>
  <c r="Y129" i="3"/>
  <c r="Z129" i="3"/>
  <c r="AA129" i="3"/>
  <c r="AB129" i="3"/>
  <c r="AC129" i="3"/>
  <c r="AD129" i="3"/>
  <c r="AE129" i="3"/>
  <c r="AF129" i="3"/>
  <c r="AG129" i="3"/>
  <c r="AH129" i="3"/>
  <c r="CK129" i="3"/>
  <c r="W130" i="3"/>
  <c r="X130" i="3"/>
  <c r="Y130" i="3"/>
  <c r="Z130" i="3"/>
  <c r="AA130" i="3"/>
  <c r="AB130" i="3"/>
  <c r="AC130" i="3"/>
  <c r="AD130" i="3"/>
  <c r="AE130" i="3"/>
  <c r="AF130" i="3"/>
  <c r="AG130" i="3"/>
  <c r="AH130" i="3"/>
  <c r="E131" i="3"/>
  <c r="F131" i="3"/>
  <c r="G131" i="3"/>
  <c r="H131" i="3"/>
  <c r="I131" i="3"/>
  <c r="J131" i="3"/>
  <c r="K131" i="3"/>
  <c r="L131" i="3"/>
  <c r="M131" i="3"/>
  <c r="N131" i="3"/>
  <c r="O131" i="3"/>
  <c r="P131" i="3"/>
  <c r="D133" i="3"/>
  <c r="T133" i="3"/>
  <c r="M4" i="7" s="1"/>
  <c r="AR3" i="7" s="1"/>
  <c r="C135" i="3"/>
  <c r="D152" i="3" s="1"/>
  <c r="C152" i="3" s="1"/>
  <c r="W141" i="3"/>
  <c r="X141" i="3"/>
  <c r="Y141" i="3"/>
  <c r="Z141" i="3"/>
  <c r="AA141" i="3"/>
  <c r="AB141" i="3"/>
  <c r="AC141" i="3"/>
  <c r="AD141" i="3"/>
  <c r="AE141" i="3"/>
  <c r="AF141" i="3"/>
  <c r="AG141" i="3"/>
  <c r="AH141" i="3"/>
  <c r="CK141" i="3"/>
  <c r="W142" i="3"/>
  <c r="X142" i="3"/>
  <c r="Y142" i="3"/>
  <c r="Z142" i="3"/>
  <c r="AA142" i="3"/>
  <c r="AB142" i="3"/>
  <c r="AC142" i="3"/>
  <c r="AD142" i="3"/>
  <c r="AE142" i="3"/>
  <c r="AF142" i="3"/>
  <c r="AG142" i="3"/>
  <c r="AH142" i="3"/>
  <c r="W143" i="3"/>
  <c r="X143" i="3"/>
  <c r="Y143" i="3"/>
  <c r="Z143" i="3"/>
  <c r="AA143" i="3"/>
  <c r="AB143" i="3"/>
  <c r="AC143" i="3"/>
  <c r="AD143" i="3"/>
  <c r="AE143" i="3"/>
  <c r="AF143" i="3"/>
  <c r="AG143" i="3"/>
  <c r="AH143" i="3"/>
  <c r="W144" i="3"/>
  <c r="X144" i="3"/>
  <c r="Y144" i="3"/>
  <c r="Z144" i="3"/>
  <c r="AA144" i="3"/>
  <c r="AB144" i="3"/>
  <c r="AC144" i="3"/>
  <c r="AD144" i="3"/>
  <c r="AE144" i="3"/>
  <c r="AF144" i="3"/>
  <c r="AG144" i="3"/>
  <c r="AH144" i="3"/>
  <c r="W145" i="3"/>
  <c r="X145" i="3"/>
  <c r="Y145" i="3"/>
  <c r="Z145" i="3"/>
  <c r="AA145" i="3"/>
  <c r="AB145" i="3"/>
  <c r="AC145" i="3"/>
  <c r="AD145" i="3"/>
  <c r="AE145" i="3"/>
  <c r="AF145" i="3"/>
  <c r="AG145" i="3"/>
  <c r="AH145" i="3"/>
  <c r="W146" i="3"/>
  <c r="X146" i="3"/>
  <c r="Y146" i="3"/>
  <c r="Z146" i="3"/>
  <c r="AA146" i="3"/>
  <c r="AB146" i="3"/>
  <c r="AC146" i="3"/>
  <c r="AD146" i="3"/>
  <c r="AE146" i="3"/>
  <c r="AF146" i="3"/>
  <c r="AG146" i="3"/>
  <c r="AH146" i="3"/>
  <c r="W147" i="3"/>
  <c r="X147" i="3"/>
  <c r="Y147" i="3"/>
  <c r="Z147" i="3"/>
  <c r="AA147" i="3"/>
  <c r="AB147" i="3"/>
  <c r="AC147" i="3"/>
  <c r="AD147" i="3"/>
  <c r="AE147" i="3"/>
  <c r="AF147" i="3"/>
  <c r="AG147" i="3"/>
  <c r="AH147" i="3"/>
  <c r="W148" i="3"/>
  <c r="X148" i="3"/>
  <c r="Y148" i="3"/>
  <c r="Z148" i="3"/>
  <c r="AA148" i="3"/>
  <c r="AB148" i="3"/>
  <c r="AC148" i="3"/>
  <c r="AD148" i="3"/>
  <c r="AE148" i="3"/>
  <c r="AF148" i="3"/>
  <c r="AG148" i="3"/>
  <c r="AH148" i="3"/>
  <c r="W149" i="3"/>
  <c r="X149" i="3"/>
  <c r="Y149" i="3"/>
  <c r="Z149" i="3"/>
  <c r="AA149" i="3"/>
  <c r="AB149" i="3"/>
  <c r="AC149" i="3"/>
  <c r="AD149" i="3"/>
  <c r="AE149" i="3"/>
  <c r="AF149" i="3"/>
  <c r="AG149" i="3"/>
  <c r="AH149" i="3"/>
  <c r="W150" i="3"/>
  <c r="X150" i="3"/>
  <c r="Y150" i="3"/>
  <c r="Z150" i="3"/>
  <c r="AA150" i="3"/>
  <c r="AB150" i="3"/>
  <c r="AC150" i="3"/>
  <c r="AD150" i="3"/>
  <c r="AE150" i="3"/>
  <c r="AF150" i="3"/>
  <c r="AG150" i="3"/>
  <c r="AH150" i="3"/>
  <c r="W151" i="3"/>
  <c r="X151" i="3"/>
  <c r="Y151" i="3"/>
  <c r="Z151" i="3"/>
  <c r="AA151" i="3"/>
  <c r="AB151" i="3"/>
  <c r="AC151" i="3"/>
  <c r="AD151" i="3"/>
  <c r="AE151" i="3"/>
  <c r="AF151" i="3"/>
  <c r="AG151" i="3"/>
  <c r="AH151" i="3"/>
  <c r="W152" i="3"/>
  <c r="X152" i="3"/>
  <c r="Y152" i="3"/>
  <c r="Z152" i="3"/>
  <c r="AA152" i="3"/>
  <c r="AB152" i="3"/>
  <c r="AC152" i="3"/>
  <c r="AD152" i="3"/>
  <c r="AE152" i="3"/>
  <c r="AF152" i="3"/>
  <c r="AG152" i="3"/>
  <c r="AH152" i="3"/>
  <c r="E153" i="3"/>
  <c r="F153" i="3"/>
  <c r="G153" i="3"/>
  <c r="H153" i="3"/>
  <c r="I153" i="3"/>
  <c r="J153" i="3"/>
  <c r="K153" i="3"/>
  <c r="L153" i="3"/>
  <c r="M153" i="3"/>
  <c r="N153" i="3"/>
  <c r="O153" i="3"/>
  <c r="P153" i="3"/>
  <c r="D155" i="3"/>
  <c r="T155" i="3"/>
  <c r="P4" i="7" s="1"/>
  <c r="C157" i="3"/>
  <c r="D167" i="3" s="1"/>
  <c r="C167" i="3" s="1"/>
  <c r="W163" i="3"/>
  <c r="X163" i="3"/>
  <c r="Y163" i="3"/>
  <c r="Z163" i="3"/>
  <c r="AA163" i="3"/>
  <c r="AB163" i="3"/>
  <c r="AC163" i="3"/>
  <c r="AD163" i="3"/>
  <c r="AE163" i="3"/>
  <c r="AF163" i="3"/>
  <c r="AG163" i="3"/>
  <c r="AH163" i="3"/>
  <c r="W164" i="3"/>
  <c r="X164" i="3"/>
  <c r="Y164" i="3"/>
  <c r="Z164" i="3"/>
  <c r="AA164" i="3"/>
  <c r="AB164" i="3"/>
  <c r="AC164" i="3"/>
  <c r="AD164" i="3"/>
  <c r="AE164" i="3"/>
  <c r="AF164" i="3"/>
  <c r="AG164" i="3"/>
  <c r="AH164" i="3"/>
  <c r="W165" i="3"/>
  <c r="X165" i="3"/>
  <c r="Y165" i="3"/>
  <c r="Z165" i="3"/>
  <c r="AA165" i="3"/>
  <c r="AB165" i="3"/>
  <c r="AC165" i="3"/>
  <c r="AD165" i="3"/>
  <c r="AE165" i="3"/>
  <c r="AF165" i="3"/>
  <c r="AG165" i="3"/>
  <c r="AH165" i="3"/>
  <c r="W166" i="3"/>
  <c r="X166" i="3"/>
  <c r="Y166" i="3"/>
  <c r="Z166" i="3"/>
  <c r="AA166" i="3"/>
  <c r="AB166" i="3"/>
  <c r="AC166" i="3"/>
  <c r="AD166" i="3"/>
  <c r="AE166" i="3"/>
  <c r="AF166" i="3"/>
  <c r="AG166" i="3"/>
  <c r="AH166" i="3"/>
  <c r="W167" i="3"/>
  <c r="X167" i="3"/>
  <c r="Y167" i="3"/>
  <c r="Z167" i="3"/>
  <c r="AA167" i="3"/>
  <c r="AB167" i="3"/>
  <c r="AC167" i="3"/>
  <c r="AD167" i="3"/>
  <c r="AE167" i="3"/>
  <c r="AF167" i="3"/>
  <c r="AG167" i="3"/>
  <c r="AH167" i="3"/>
  <c r="W168" i="3"/>
  <c r="X168" i="3"/>
  <c r="Y168" i="3"/>
  <c r="Z168" i="3"/>
  <c r="AA168" i="3"/>
  <c r="AB168" i="3"/>
  <c r="AC168" i="3"/>
  <c r="AD168" i="3"/>
  <c r="AE168" i="3"/>
  <c r="AF168" i="3"/>
  <c r="AG168" i="3"/>
  <c r="AH168" i="3"/>
  <c r="W169" i="3"/>
  <c r="X169" i="3"/>
  <c r="Y169" i="3"/>
  <c r="Z169" i="3"/>
  <c r="AA169" i="3"/>
  <c r="AB169" i="3"/>
  <c r="AC169" i="3"/>
  <c r="AD169" i="3"/>
  <c r="AE169" i="3"/>
  <c r="AF169" i="3"/>
  <c r="AG169" i="3"/>
  <c r="AH169" i="3"/>
  <c r="W170" i="3"/>
  <c r="X170" i="3"/>
  <c r="Y170" i="3"/>
  <c r="Z170" i="3"/>
  <c r="AA170" i="3"/>
  <c r="AB170" i="3"/>
  <c r="AC170" i="3"/>
  <c r="AD170" i="3"/>
  <c r="AE170" i="3"/>
  <c r="AF170" i="3"/>
  <c r="AG170" i="3"/>
  <c r="AH170" i="3"/>
  <c r="W171" i="3"/>
  <c r="X171" i="3"/>
  <c r="Y171" i="3"/>
  <c r="Z171" i="3"/>
  <c r="AA171" i="3"/>
  <c r="AB171" i="3"/>
  <c r="AC171" i="3"/>
  <c r="AD171" i="3"/>
  <c r="AE171" i="3"/>
  <c r="AF171" i="3"/>
  <c r="AG171" i="3"/>
  <c r="AH171" i="3"/>
  <c r="W172" i="3"/>
  <c r="X172" i="3"/>
  <c r="Y172" i="3"/>
  <c r="Z172" i="3"/>
  <c r="AA172" i="3"/>
  <c r="AB172" i="3"/>
  <c r="AC172" i="3"/>
  <c r="AD172" i="3"/>
  <c r="AE172" i="3"/>
  <c r="AF172" i="3"/>
  <c r="AG172" i="3"/>
  <c r="AH172" i="3"/>
  <c r="W173" i="3"/>
  <c r="X173" i="3"/>
  <c r="Y173" i="3"/>
  <c r="Z173" i="3"/>
  <c r="AA173" i="3"/>
  <c r="AB173" i="3"/>
  <c r="AC173" i="3"/>
  <c r="AD173" i="3"/>
  <c r="AE173" i="3"/>
  <c r="AF173" i="3"/>
  <c r="AG173" i="3"/>
  <c r="AH173" i="3"/>
  <c r="W174" i="3"/>
  <c r="X174" i="3"/>
  <c r="Y174" i="3"/>
  <c r="Z174" i="3"/>
  <c r="AA174" i="3"/>
  <c r="AB174" i="3"/>
  <c r="AC174" i="3"/>
  <c r="AD174" i="3"/>
  <c r="AE174" i="3"/>
  <c r="AF174" i="3"/>
  <c r="AG174" i="3"/>
  <c r="AH174" i="3"/>
  <c r="E175" i="3"/>
  <c r="F175" i="3"/>
  <c r="G175" i="3"/>
  <c r="H175" i="3"/>
  <c r="I175" i="3"/>
  <c r="J175" i="3"/>
  <c r="K175" i="3"/>
  <c r="L175" i="3"/>
  <c r="M175" i="3"/>
  <c r="N175" i="3"/>
  <c r="O175" i="3"/>
  <c r="P175" i="3"/>
  <c r="D177" i="3"/>
  <c r="T177" i="3"/>
  <c r="C179" i="3"/>
  <c r="C181" i="3" s="1"/>
  <c r="W185" i="3"/>
  <c r="X185" i="3"/>
  <c r="Y185" i="3"/>
  <c r="Z185" i="3"/>
  <c r="AA185" i="3"/>
  <c r="AB185" i="3"/>
  <c r="AC185" i="3"/>
  <c r="AD185" i="3"/>
  <c r="AE185" i="3"/>
  <c r="AF185" i="3"/>
  <c r="AG185" i="3"/>
  <c r="AH185" i="3"/>
  <c r="W186" i="3"/>
  <c r="X186" i="3"/>
  <c r="Y186" i="3"/>
  <c r="Z186" i="3"/>
  <c r="AA186" i="3"/>
  <c r="AB186" i="3"/>
  <c r="AC186" i="3"/>
  <c r="AD186" i="3"/>
  <c r="AE186" i="3"/>
  <c r="AF186" i="3"/>
  <c r="AG186" i="3"/>
  <c r="AH186" i="3"/>
  <c r="W187" i="3"/>
  <c r="X187" i="3"/>
  <c r="Y187" i="3"/>
  <c r="Z187" i="3"/>
  <c r="AA187" i="3"/>
  <c r="AB187" i="3"/>
  <c r="AC187" i="3"/>
  <c r="AD187" i="3"/>
  <c r="AE187" i="3"/>
  <c r="AF187" i="3"/>
  <c r="AG187" i="3"/>
  <c r="AH187" i="3"/>
  <c r="W188" i="3"/>
  <c r="X188" i="3"/>
  <c r="Y188" i="3"/>
  <c r="Z188" i="3"/>
  <c r="AA188" i="3"/>
  <c r="AB188" i="3"/>
  <c r="AC188" i="3"/>
  <c r="AD188" i="3"/>
  <c r="AE188" i="3"/>
  <c r="AF188" i="3"/>
  <c r="AG188" i="3"/>
  <c r="AH188" i="3"/>
  <c r="W189" i="3"/>
  <c r="X189" i="3"/>
  <c r="Y189" i="3"/>
  <c r="Z189" i="3"/>
  <c r="AA189" i="3"/>
  <c r="AB189" i="3"/>
  <c r="AC189" i="3"/>
  <c r="AD189" i="3"/>
  <c r="AE189" i="3"/>
  <c r="AF189" i="3"/>
  <c r="AG189" i="3"/>
  <c r="AH189" i="3"/>
  <c r="W190" i="3"/>
  <c r="X190" i="3"/>
  <c r="Y190" i="3"/>
  <c r="Z190" i="3"/>
  <c r="AA190" i="3"/>
  <c r="AB190" i="3"/>
  <c r="AC190" i="3"/>
  <c r="AD190" i="3"/>
  <c r="AE190" i="3"/>
  <c r="AF190" i="3"/>
  <c r="AG190" i="3"/>
  <c r="AH190" i="3"/>
  <c r="W191" i="3"/>
  <c r="X191" i="3"/>
  <c r="Y191" i="3"/>
  <c r="Z191" i="3"/>
  <c r="AA191" i="3"/>
  <c r="AB191" i="3"/>
  <c r="AC191" i="3"/>
  <c r="AD191" i="3"/>
  <c r="AE191" i="3"/>
  <c r="AF191" i="3"/>
  <c r="AG191" i="3"/>
  <c r="AH191" i="3"/>
  <c r="W192" i="3"/>
  <c r="X192" i="3"/>
  <c r="Y192" i="3"/>
  <c r="Z192" i="3"/>
  <c r="AA192" i="3"/>
  <c r="AB192" i="3"/>
  <c r="AC192" i="3"/>
  <c r="AD192" i="3"/>
  <c r="AE192" i="3"/>
  <c r="AF192" i="3"/>
  <c r="AG192" i="3"/>
  <c r="AH192" i="3"/>
  <c r="W193" i="3"/>
  <c r="X193" i="3"/>
  <c r="Y193" i="3"/>
  <c r="Z193" i="3"/>
  <c r="AA193" i="3"/>
  <c r="AB193" i="3"/>
  <c r="AC193" i="3"/>
  <c r="AD193" i="3"/>
  <c r="AE193" i="3"/>
  <c r="AF193" i="3"/>
  <c r="AG193" i="3"/>
  <c r="AH193" i="3"/>
  <c r="W194" i="3"/>
  <c r="X194" i="3"/>
  <c r="Y194" i="3"/>
  <c r="Z194" i="3"/>
  <c r="AA194" i="3"/>
  <c r="AB194" i="3"/>
  <c r="AC194" i="3"/>
  <c r="AD194" i="3"/>
  <c r="AE194" i="3"/>
  <c r="AF194" i="3"/>
  <c r="AG194" i="3"/>
  <c r="AH194" i="3"/>
  <c r="W195" i="3"/>
  <c r="X195" i="3"/>
  <c r="Y195" i="3"/>
  <c r="Z195" i="3"/>
  <c r="AA195" i="3"/>
  <c r="AB195" i="3"/>
  <c r="AC195" i="3"/>
  <c r="AD195" i="3"/>
  <c r="AE195" i="3"/>
  <c r="AF195" i="3"/>
  <c r="AG195" i="3"/>
  <c r="AH195" i="3"/>
  <c r="W196" i="3"/>
  <c r="X196" i="3"/>
  <c r="Y196" i="3"/>
  <c r="Z196" i="3"/>
  <c r="AA196" i="3"/>
  <c r="AB196" i="3"/>
  <c r="AC196" i="3"/>
  <c r="AD196" i="3"/>
  <c r="AE196" i="3"/>
  <c r="AF196" i="3"/>
  <c r="AG196" i="3"/>
  <c r="AH196" i="3"/>
  <c r="E197" i="3"/>
  <c r="F197" i="3"/>
  <c r="G197" i="3"/>
  <c r="H197" i="3"/>
  <c r="I197" i="3"/>
  <c r="AA109" i="3" s="1"/>
  <c r="J197" i="3"/>
  <c r="K197" i="3"/>
  <c r="L197" i="3"/>
  <c r="M197" i="3"/>
  <c r="N197" i="3"/>
  <c r="O197" i="3"/>
  <c r="P197" i="3"/>
  <c r="B199" i="3"/>
  <c r="AW2" i="3" s="1"/>
  <c r="C201" i="3"/>
  <c r="U113" i="3" s="1"/>
  <c r="E219" i="3"/>
  <c r="W131" i="3" s="1"/>
  <c r="F219" i="3"/>
  <c r="G219" i="3"/>
  <c r="Y131" i="3" s="1"/>
  <c r="H219" i="3"/>
  <c r="Z131" i="3"/>
  <c r="I219" i="3"/>
  <c r="AA131" i="3" s="1"/>
  <c r="J219" i="3"/>
  <c r="K219" i="3"/>
  <c r="AC131" i="3" s="1"/>
  <c r="L219" i="3"/>
  <c r="AD131" i="3" s="1"/>
  <c r="M219" i="3"/>
  <c r="AE131" i="3" s="1"/>
  <c r="N219" i="3"/>
  <c r="AF131" i="3" s="1"/>
  <c r="O219" i="3"/>
  <c r="AG131" i="3" s="1"/>
  <c r="P219" i="3"/>
  <c r="AH131" i="3" s="1"/>
  <c r="B221" i="3"/>
  <c r="BF2" i="3" s="1"/>
  <c r="C223" i="3"/>
  <c r="D230" i="3" s="1"/>
  <c r="V142" i="3" s="1"/>
  <c r="E241" i="3"/>
  <c r="W153" i="3" s="1"/>
  <c r="F241" i="3"/>
  <c r="X153" i="3" s="1"/>
  <c r="G241" i="3"/>
  <c r="Y153" i="3" s="1"/>
  <c r="H241" i="3"/>
  <c r="Z153" i="3" s="1"/>
  <c r="I241" i="3"/>
  <c r="AA153" i="3" s="1"/>
  <c r="J241" i="3"/>
  <c r="AB153" i="3" s="1"/>
  <c r="K241" i="3"/>
  <c r="AC153" i="3" s="1"/>
  <c r="L241" i="3"/>
  <c r="AD153" i="3" s="1"/>
  <c r="M241" i="3"/>
  <c r="AE153" i="3" s="1"/>
  <c r="N241" i="3"/>
  <c r="AF153" i="3" s="1"/>
  <c r="O241" i="3"/>
  <c r="AG153" i="3" s="1"/>
  <c r="P241" i="3"/>
  <c r="AH153" i="3" s="1"/>
  <c r="B243" i="3"/>
  <c r="BR2" i="3" s="1"/>
  <c r="D243" i="3"/>
  <c r="C245" i="3"/>
  <c r="D255" i="3" s="1"/>
  <c r="E263" i="3"/>
  <c r="F263" i="3"/>
  <c r="G263" i="3"/>
  <c r="H263" i="3"/>
  <c r="I263" i="3"/>
  <c r="J263" i="3"/>
  <c r="K263" i="3"/>
  <c r="L263" i="3"/>
  <c r="M263" i="3"/>
  <c r="N263" i="3"/>
  <c r="O263" i="3"/>
  <c r="P263" i="3"/>
  <c r="D265" i="3"/>
  <c r="C267" i="3"/>
  <c r="D283" i="3" s="1"/>
  <c r="E285" i="3"/>
  <c r="F285" i="3"/>
  <c r="G285" i="3"/>
  <c r="H285" i="3"/>
  <c r="I285" i="3"/>
  <c r="J285" i="3"/>
  <c r="K285" i="3"/>
  <c r="L285" i="3"/>
  <c r="M285" i="3"/>
  <c r="N285" i="3"/>
  <c r="O285" i="3"/>
  <c r="P285" i="3"/>
  <c r="B287" i="3"/>
  <c r="BZ2" i="3" s="1"/>
  <c r="D287" i="3"/>
  <c r="C289" i="3"/>
  <c r="D306" i="3" s="1"/>
  <c r="C306" i="3" s="1"/>
  <c r="E307" i="3"/>
  <c r="F307" i="3"/>
  <c r="G307" i="3"/>
  <c r="H307" i="3"/>
  <c r="I307" i="3"/>
  <c r="J307" i="3"/>
  <c r="K307" i="3"/>
  <c r="L307" i="3"/>
  <c r="M307" i="3"/>
  <c r="AE197" i="3" s="1"/>
  <c r="N307" i="3"/>
  <c r="O307" i="3"/>
  <c r="P307" i="3"/>
  <c r="D309" i="3"/>
  <c r="C311" i="3"/>
  <c r="D322" i="3" s="1"/>
  <c r="C322" i="3" s="1"/>
  <c r="E329" i="3"/>
  <c r="F329" i="3"/>
  <c r="G329" i="3"/>
  <c r="H329" i="3"/>
  <c r="I329" i="3"/>
  <c r="J329" i="3"/>
  <c r="K329" i="3"/>
  <c r="L329" i="3"/>
  <c r="M329" i="3"/>
  <c r="N329" i="3"/>
  <c r="O329" i="3"/>
  <c r="P329" i="3"/>
  <c r="R4" i="1"/>
  <c r="B265" i="3" s="1"/>
  <c r="G11" i="1"/>
  <c r="N11" i="1"/>
  <c r="F246" i="3" s="1"/>
  <c r="F247" i="3" s="1"/>
  <c r="U11" i="1"/>
  <c r="F268" i="3" s="1"/>
  <c r="N19" i="1"/>
  <c r="L21" i="1" s="1"/>
  <c r="U19" i="1"/>
  <c r="E21" i="1"/>
  <c r="E23" i="1"/>
  <c r="E33" i="1"/>
  <c r="G37" i="1"/>
  <c r="L41" i="1"/>
  <c r="S41" i="1"/>
  <c r="E43" i="1"/>
  <c r="L43" i="1"/>
  <c r="S43" i="1"/>
  <c r="E45" i="1"/>
  <c r="E50" i="1"/>
  <c r="L51" i="1"/>
  <c r="S51" i="1"/>
  <c r="G59" i="1"/>
  <c r="L59" i="1"/>
  <c r="S59" i="1"/>
  <c r="E71" i="1"/>
  <c r="E73" i="1"/>
  <c r="E75" i="1"/>
  <c r="E83" i="1"/>
  <c r="R105" i="1"/>
  <c r="B309" i="3" s="1"/>
  <c r="G112" i="1"/>
  <c r="N112" i="1"/>
  <c r="F290" i="3" s="1"/>
  <c r="U112" i="1"/>
  <c r="F312" i="3" s="1"/>
  <c r="N120" i="1"/>
  <c r="U120" i="1"/>
  <c r="S122" i="1" s="1"/>
  <c r="E122" i="1"/>
  <c r="G138" i="1"/>
  <c r="L142" i="1"/>
  <c r="S142" i="1"/>
  <c r="E144" i="1"/>
  <c r="L144" i="1"/>
  <c r="S144" i="1"/>
  <c r="E146" i="1"/>
  <c r="E151" i="1"/>
  <c r="L152" i="1"/>
  <c r="S152" i="1"/>
  <c r="G160" i="1"/>
  <c r="F224" i="3" s="1"/>
  <c r="L160" i="1"/>
  <c r="S160" i="1"/>
  <c r="E174" i="1"/>
  <c r="E175" i="1" s="1"/>
  <c r="L18" i="7" s="1"/>
  <c r="E176" i="1"/>
  <c r="E184" i="1"/>
  <c r="E192" i="1"/>
  <c r="E201" i="1"/>
  <c r="L22" i="7" s="1"/>
  <c r="M21" i="7" s="1"/>
  <c r="AS38" i="9" s="1"/>
  <c r="BA38" i="9" s="1"/>
  <c r="BD38" i="9" s="1"/>
  <c r="K4" i="2"/>
  <c r="B45" i="3" s="1"/>
  <c r="R4" i="2"/>
  <c r="B67" i="3" s="1"/>
  <c r="Y4" i="2"/>
  <c r="B89" i="3" s="1"/>
  <c r="G10" i="2"/>
  <c r="F26" i="3" s="1"/>
  <c r="N10" i="2"/>
  <c r="L14" i="2" s="1"/>
  <c r="L49" i="3" s="1"/>
  <c r="U10" i="2"/>
  <c r="F70" i="3" s="1"/>
  <c r="AB10" i="2"/>
  <c r="Z14" i="2" s="1"/>
  <c r="L93" i="3" s="1"/>
  <c r="E26" i="2"/>
  <c r="L26" i="2"/>
  <c r="S26" i="2"/>
  <c r="Z26" i="2"/>
  <c r="L28" i="2"/>
  <c r="S28" i="2"/>
  <c r="Z28" i="2"/>
  <c r="L36" i="2"/>
  <c r="S36" i="2"/>
  <c r="Z36" i="2"/>
  <c r="L44" i="2"/>
  <c r="S44" i="2"/>
  <c r="Z44" i="2"/>
  <c r="K62" i="2"/>
  <c r="B133" i="3" s="1"/>
  <c r="R62" i="2"/>
  <c r="B155" i="3" s="1"/>
  <c r="Y62" i="2"/>
  <c r="B177" i="3" s="1"/>
  <c r="G68" i="2"/>
  <c r="F114" i="3" s="1"/>
  <c r="N68" i="2"/>
  <c r="F136" i="3" s="1"/>
  <c r="F137" i="3" s="1"/>
  <c r="U68" i="2"/>
  <c r="F158" i="3" s="1"/>
  <c r="AB68" i="2"/>
  <c r="F180" i="3" s="1"/>
  <c r="F181" i="3" s="1"/>
  <c r="E72" i="2"/>
  <c r="L115" i="3" s="1"/>
  <c r="Z72" i="2"/>
  <c r="L181" i="3" s="1"/>
  <c r="E84" i="2"/>
  <c r="L84" i="2"/>
  <c r="S84" i="2"/>
  <c r="Z84" i="2"/>
  <c r="Z85" i="2"/>
  <c r="L86" i="2"/>
  <c r="S86" i="2"/>
  <c r="Z86" i="2"/>
  <c r="L94" i="2"/>
  <c r="S94" i="2"/>
  <c r="Z94" i="2"/>
  <c r="Z101" i="2"/>
  <c r="E102" i="2"/>
  <c r="L102" i="2"/>
  <c r="S102" i="2"/>
  <c r="Z102" i="2"/>
  <c r="Z103" i="2" s="1"/>
  <c r="Z115" i="2"/>
  <c r="I37" i="18"/>
  <c r="G162" i="1"/>
  <c r="AB131" i="3"/>
  <c r="X131" i="3"/>
  <c r="E18" i="5"/>
  <c r="BB50" i="5"/>
  <c r="BB37" i="5"/>
  <c r="DO12" i="9"/>
  <c r="DW18" i="9"/>
  <c r="CB21" i="9"/>
  <c r="DW9" i="9"/>
  <c r="DO9" i="9"/>
  <c r="DG9" i="9"/>
  <c r="X12" i="9"/>
  <c r="Z87" i="2"/>
  <c r="Z95" i="2"/>
  <c r="Z116" i="2"/>
  <c r="AZ21" i="9"/>
  <c r="DC19" i="9"/>
  <c r="DS18" i="9"/>
  <c r="DS19" i="9"/>
  <c r="CB14" i="9"/>
  <c r="DO11" i="9"/>
  <c r="AZ13" i="9"/>
  <c r="DK9" i="9"/>
  <c r="DG16" i="9"/>
  <c r="BN16" i="9"/>
  <c r="J12" i="9"/>
  <c r="DW14" i="9"/>
  <c r="AZ18" i="9"/>
  <c r="DK16" i="9"/>
  <c r="DW13" i="9"/>
  <c r="DG13" i="9"/>
  <c r="DK12" i="9"/>
  <c r="CB13" i="9"/>
  <c r="DW10" i="9"/>
  <c r="DK25" i="9"/>
  <c r="DG19" i="9"/>
  <c r="X22" i="9"/>
  <c r="DW17" i="9"/>
  <c r="AX23" i="9"/>
  <c r="CN12" i="9"/>
  <c r="DO14" i="9"/>
  <c r="AZ16" i="9"/>
  <c r="DK17" i="9"/>
  <c r="DC13" i="9"/>
  <c r="DG8" i="9"/>
  <c r="X11" i="9"/>
  <c r="CN22" i="9"/>
  <c r="CB19" i="9"/>
  <c r="DG15" i="9"/>
  <c r="X18" i="9"/>
  <c r="BN12" i="9"/>
  <c r="CB11" i="9"/>
  <c r="DW8" i="9"/>
  <c r="DK8" i="9"/>
  <c r="AL13" i="9"/>
  <c r="V23" i="9"/>
  <c r="CN11" i="9"/>
  <c r="AL11" i="9"/>
  <c r="AZ11" i="9"/>
  <c r="X20" i="9"/>
  <c r="X15" i="9"/>
  <c r="X16" i="9"/>
  <c r="X17" i="9"/>
  <c r="X21" i="9"/>
  <c r="X19" i="9"/>
  <c r="CS100" i="3"/>
  <c r="AC87" i="3"/>
  <c r="DK15" i="9"/>
  <c r="CO18" i="9"/>
  <c r="CY15" i="9" s="1"/>
  <c r="AL18" i="9"/>
  <c r="CB24" i="9"/>
  <c r="BN18" i="9"/>
  <c r="DS15" i="9"/>
  <c r="AZ24" i="9"/>
  <c r="DG10" i="9"/>
  <c r="J21" i="9"/>
  <c r="D79" i="6"/>
  <c r="X24" i="9"/>
  <c r="CN21" i="9"/>
  <c r="CO17" i="9"/>
  <c r="CY14" i="9" s="1"/>
  <c r="U13" i="1"/>
  <c r="L269" i="3" s="1"/>
  <c r="CP64" i="3"/>
  <c r="AK163" i="5"/>
  <c r="AK149" i="5"/>
  <c r="AK141" i="5"/>
  <c r="S83" i="2"/>
  <c r="S85" i="2" s="1"/>
  <c r="Z42" i="2"/>
  <c r="Z43" i="2" s="1"/>
  <c r="L57" i="1"/>
  <c r="L58" i="1" s="1"/>
  <c r="CK146" i="3"/>
  <c r="X23" i="9" l="1"/>
  <c r="W25" i="9"/>
  <c r="CA25" i="9"/>
  <c r="CB23" i="9"/>
  <c r="CY18" i="9"/>
  <c r="CP21" i="9"/>
  <c r="AY25" i="9"/>
  <c r="AZ23" i="9"/>
  <c r="CY19" i="9"/>
  <c r="CP22" i="9"/>
  <c r="M58" i="5"/>
  <c r="M66" i="5" s="1"/>
  <c r="M67" i="5" s="1"/>
  <c r="CO31" i="3"/>
  <c r="CO12" i="9"/>
  <c r="DG18" i="9"/>
  <c r="DW11" i="9"/>
  <c r="DO19" i="9"/>
  <c r="AH175" i="3"/>
  <c r="Z87" i="3"/>
  <c r="CO16" i="9"/>
  <c r="CY13" i="9" s="1"/>
  <c r="I7" i="5"/>
  <c r="AH109" i="3"/>
  <c r="DK11" i="9"/>
  <c r="AB197" i="3"/>
  <c r="W175" i="3"/>
  <c r="X14" i="9"/>
  <c r="DK19" i="9"/>
  <c r="AZ19" i="9"/>
  <c r="X197" i="3"/>
  <c r="AB109" i="3"/>
  <c r="AG87" i="3"/>
  <c r="CO13" i="9"/>
  <c r="CY10" i="9" s="1"/>
  <c r="AL14" i="9"/>
  <c r="AL16" i="9"/>
  <c r="X13" i="9"/>
  <c r="DO8" i="9"/>
  <c r="DO20" i="9" s="1"/>
  <c r="DO30" i="9" s="1"/>
  <c r="AZ20" i="9"/>
  <c r="DK18" i="9"/>
  <c r="AE87" i="3"/>
  <c r="I18" i="5"/>
  <c r="BM23" i="9"/>
  <c r="BM25" i="9" s="1"/>
  <c r="BN14" i="9" s="1"/>
  <c r="AL17" i="9"/>
  <c r="CS85" i="3"/>
  <c r="BN17" i="9"/>
  <c r="DS8" i="9"/>
  <c r="DS20" i="9" s="1"/>
  <c r="DS30" i="9" s="1"/>
  <c r="CB18" i="9"/>
  <c r="DW20" i="9"/>
  <c r="DW30" i="9" s="1"/>
  <c r="AL24" i="9"/>
  <c r="AL56" i="9"/>
  <c r="AL44" i="9"/>
  <c r="AH197" i="3"/>
  <c r="Y197" i="3"/>
  <c r="AB175" i="3"/>
  <c r="X175" i="3"/>
  <c r="AC109" i="3"/>
  <c r="DG20" i="9"/>
  <c r="DG30" i="9" s="1"/>
  <c r="AG197" i="3"/>
  <c r="AE175" i="3"/>
  <c r="DK20" i="9"/>
  <c r="DK30" i="9" s="1"/>
  <c r="CP18" i="9"/>
  <c r="J11" i="9"/>
  <c r="CO11" i="9"/>
  <c r="CO57" i="9"/>
  <c r="CY26" i="9" s="1"/>
  <c r="CO15" i="9"/>
  <c r="CY12" i="9" s="1"/>
  <c r="CO14" i="9"/>
  <c r="CY11" i="9" s="1"/>
  <c r="CO19" i="9"/>
  <c r="CY16" i="9" s="1"/>
  <c r="J19" i="9"/>
  <c r="J15" i="9"/>
  <c r="CO40" i="3"/>
  <c r="CV56" i="3"/>
  <c r="I121" i="5"/>
  <c r="I133" i="5" s="1"/>
  <c r="I134" i="5" s="1"/>
  <c r="E20" i="11"/>
  <c r="E15" i="11"/>
  <c r="BN20" i="9"/>
  <c r="CN19" i="9"/>
  <c r="BN13" i="9"/>
  <c r="BN19" i="9"/>
  <c r="BL23" i="9"/>
  <c r="Z175" i="3"/>
  <c r="AL48" i="9"/>
  <c r="AL46" i="9"/>
  <c r="CM23" i="9"/>
  <c r="AL33" i="9"/>
  <c r="AL53" i="9"/>
  <c r="AL55" i="9"/>
  <c r="AL32" i="9"/>
  <c r="AL45" i="9"/>
  <c r="CO49" i="9"/>
  <c r="CY25" i="9" s="1"/>
  <c r="CO20" i="9"/>
  <c r="I23" i="9"/>
  <c r="CO23" i="9" s="1"/>
  <c r="CN14" i="9"/>
  <c r="CN13" i="9"/>
  <c r="DC20" i="9"/>
  <c r="DC30" i="9" s="1"/>
  <c r="J66" i="6"/>
  <c r="J29" i="6"/>
  <c r="AH87" i="3"/>
  <c r="CN35" i="3"/>
  <c r="D16" i="11"/>
  <c r="J52" i="6"/>
  <c r="C72" i="6"/>
  <c r="C73" i="6" s="1"/>
  <c r="N13" i="1"/>
  <c r="L247" i="3" s="1"/>
  <c r="AD159" i="3" s="1"/>
  <c r="CS115" i="3" s="1"/>
  <c r="CU118" i="5" s="1"/>
  <c r="F20" i="11"/>
  <c r="C56" i="3"/>
  <c r="E16" i="11"/>
  <c r="H16" i="11"/>
  <c r="G20" i="11"/>
  <c r="G16" i="11"/>
  <c r="F16" i="11"/>
  <c r="C16" i="11"/>
  <c r="J90" i="6"/>
  <c r="CK35" i="3"/>
  <c r="F92" i="3"/>
  <c r="F93" i="3" s="1"/>
  <c r="U179" i="3"/>
  <c r="BN24" i="9"/>
  <c r="BN44" i="9"/>
  <c r="BN33" i="9"/>
  <c r="BN43" i="9"/>
  <c r="BN57" i="9"/>
  <c r="BN46" i="9"/>
  <c r="BN56" i="9"/>
  <c r="BN15" i="9"/>
  <c r="BN47" i="9"/>
  <c r="BN32" i="9"/>
  <c r="BN53" i="9"/>
  <c r="BN54" i="9"/>
  <c r="BN25" i="9"/>
  <c r="BN38" i="9"/>
  <c r="BN48" i="9"/>
  <c r="BN45" i="9"/>
  <c r="CB32" i="9"/>
  <c r="CB36" i="9"/>
  <c r="F202" i="3"/>
  <c r="F203" i="3" s="1"/>
  <c r="X115" i="3" s="1"/>
  <c r="CM71" i="3" s="1"/>
  <c r="CO72" i="5" s="1"/>
  <c r="G61" i="1"/>
  <c r="L203" i="3" s="1"/>
  <c r="AD115" i="3" s="1"/>
  <c r="CS71" i="3" s="1"/>
  <c r="CU72" i="5" s="1"/>
  <c r="BN23" i="9"/>
  <c r="AL38" i="9"/>
  <c r="AL57" i="9"/>
  <c r="AL47" i="9"/>
  <c r="AL43" i="9"/>
  <c r="AL25" i="9"/>
  <c r="AL54" i="9"/>
  <c r="AL15" i="9"/>
  <c r="AL49" i="9"/>
  <c r="AL23" i="9"/>
  <c r="CB30" i="9"/>
  <c r="CB29" i="9"/>
  <c r="E193" i="1"/>
  <c r="F17" i="11" s="1"/>
  <c r="AF175" i="3"/>
  <c r="AA197" i="3"/>
  <c r="W197" i="3"/>
  <c r="AF197" i="3"/>
  <c r="Z197" i="3"/>
  <c r="AG175" i="3"/>
  <c r="AC175" i="3"/>
  <c r="E72" i="6"/>
  <c r="E73" i="6" s="1"/>
  <c r="Z27" i="2"/>
  <c r="G26" i="11"/>
  <c r="G38" i="11" s="1"/>
  <c r="G10" i="11"/>
  <c r="E26" i="11"/>
  <c r="E38" i="11" s="1"/>
  <c r="E10" i="11"/>
  <c r="C26" i="11"/>
  <c r="C38" i="11" s="1"/>
  <c r="C10" i="11"/>
  <c r="Y109" i="3"/>
  <c r="J39" i="6"/>
  <c r="H26" i="11"/>
  <c r="H38" i="11" s="1"/>
  <c r="H10" i="11"/>
  <c r="F26" i="11"/>
  <c r="F38" i="11" s="1"/>
  <c r="F10" i="11"/>
  <c r="D26" i="11"/>
  <c r="D38" i="11" s="1"/>
  <c r="D10" i="11"/>
  <c r="AV24" i="9"/>
  <c r="U157" i="3"/>
  <c r="AK151" i="5"/>
  <c r="CP86" i="3"/>
  <c r="AC197" i="3"/>
  <c r="F175" i="5"/>
  <c r="AM175" i="5" s="1"/>
  <c r="BC175" i="5" s="1"/>
  <c r="AM181" i="5" s="1"/>
  <c r="AM17" i="5" s="1"/>
  <c r="AD197" i="3"/>
  <c r="CT147" i="3"/>
  <c r="I16" i="5"/>
  <c r="CO82" i="3"/>
  <c r="CK60" i="3"/>
  <c r="CS150" i="3"/>
  <c r="CS126" i="3"/>
  <c r="CS81" i="3"/>
  <c r="I175" i="5"/>
  <c r="I181" i="5" s="1"/>
  <c r="I182" i="5" s="1"/>
  <c r="CS106" i="3"/>
  <c r="CO75" i="3"/>
  <c r="E24" i="5"/>
  <c r="V24" i="5" s="1"/>
  <c r="CS99" i="3"/>
  <c r="CK40" i="3"/>
  <c r="CQ102" i="3"/>
  <c r="CN141" i="3"/>
  <c r="AD175" i="3"/>
  <c r="AA175" i="3"/>
  <c r="Y175" i="3"/>
  <c r="CR142" i="3"/>
  <c r="CM35" i="3"/>
  <c r="CU80" i="3"/>
  <c r="G70" i="5"/>
  <c r="X70" i="5" s="1"/>
  <c r="CQ37" i="3"/>
  <c r="H185" i="5"/>
  <c r="AO185" i="5" s="1"/>
  <c r="BE185" i="5" s="1"/>
  <c r="AO195" i="5" s="1"/>
  <c r="AO18" i="5" s="1"/>
  <c r="CU123" i="3"/>
  <c r="CU77" i="3"/>
  <c r="CV119" i="3"/>
  <c r="CR97" i="3"/>
  <c r="CL125" i="3"/>
  <c r="CQ35" i="3"/>
  <c r="CQ36" i="3"/>
  <c r="CU145" i="3"/>
  <c r="O16" i="5"/>
  <c r="CU144" i="3"/>
  <c r="CM146" i="3"/>
  <c r="CQ101" i="3"/>
  <c r="O11" i="5"/>
  <c r="CV126" i="3"/>
  <c r="H8" i="5"/>
  <c r="F16" i="5"/>
  <c r="CM41" i="3"/>
  <c r="CM125" i="3"/>
  <c r="CT108" i="3"/>
  <c r="CM59" i="3"/>
  <c r="CQ125" i="3"/>
  <c r="CO128" i="3"/>
  <c r="CO60" i="3"/>
  <c r="I14" i="5"/>
  <c r="CO126" i="3"/>
  <c r="CM123" i="3"/>
  <c r="CK82" i="3"/>
  <c r="CM102" i="3"/>
  <c r="K70" i="5"/>
  <c r="AB70" i="5" s="1"/>
  <c r="CQ145" i="3"/>
  <c r="CQ59" i="3"/>
  <c r="K10" i="5"/>
  <c r="CU124" i="3"/>
  <c r="CO53" i="3"/>
  <c r="E175" i="5"/>
  <c r="E181" i="5" s="1"/>
  <c r="E182" i="5" s="1"/>
  <c r="CK127" i="3"/>
  <c r="CO119" i="3"/>
  <c r="CK108" i="3"/>
  <c r="CO97" i="3"/>
  <c r="CO79" i="3"/>
  <c r="CS63" i="3"/>
  <c r="CO106" i="3"/>
  <c r="I137" i="5"/>
  <c r="Z137" i="5" s="1"/>
  <c r="CO144" i="3"/>
  <c r="CK148" i="3"/>
  <c r="CM36" i="3"/>
  <c r="CU35" i="3"/>
  <c r="O12" i="5"/>
  <c r="CU99" i="3"/>
  <c r="CQ80" i="3"/>
  <c r="CU102" i="3"/>
  <c r="O83" i="5"/>
  <c r="O105" i="5" s="1"/>
  <c r="O106" i="5" s="1"/>
  <c r="CK99" i="3"/>
  <c r="CS37" i="3"/>
  <c r="M121" i="5"/>
  <c r="AT121" i="5" s="1"/>
  <c r="BJ121" i="5" s="1"/>
  <c r="AT133" i="5" s="1"/>
  <c r="AT13" i="5" s="1"/>
  <c r="CO141" i="3"/>
  <c r="E7" i="5"/>
  <c r="G18" i="5"/>
  <c r="CM147" i="3"/>
  <c r="CS121" i="3"/>
  <c r="CU98" i="3"/>
  <c r="CK84" i="3"/>
  <c r="CU58" i="3"/>
  <c r="CM37" i="3"/>
  <c r="J15" i="5"/>
  <c r="J12" i="5"/>
  <c r="CL141" i="3"/>
  <c r="CT125" i="3"/>
  <c r="CP40" i="3"/>
  <c r="CT37" i="3"/>
  <c r="F121" i="5"/>
  <c r="F133" i="5" s="1"/>
  <c r="F134" i="5" s="1"/>
  <c r="CM149" i="3"/>
  <c r="G12" i="5"/>
  <c r="CP125" i="3"/>
  <c r="CU79" i="3"/>
  <c r="CQ123" i="3"/>
  <c r="K11" i="5"/>
  <c r="CQ79" i="3"/>
  <c r="CQ124" i="3"/>
  <c r="CQ103" i="3"/>
  <c r="CU100" i="3"/>
  <c r="O109" i="5"/>
  <c r="AF109" i="5" s="1"/>
  <c r="CQ121" i="3"/>
  <c r="CU146" i="3"/>
  <c r="CU59" i="3"/>
  <c r="CT103" i="3"/>
  <c r="N121" i="5"/>
  <c r="AU121" i="5" s="1"/>
  <c r="BK121" i="5" s="1"/>
  <c r="AU133" i="5" s="1"/>
  <c r="AU13" i="5" s="1"/>
  <c r="O7" i="5"/>
  <c r="K8" i="5"/>
  <c r="O137" i="5"/>
  <c r="AF137" i="5" s="1"/>
  <c r="AF109" i="3"/>
  <c r="CM151" i="3"/>
  <c r="CQ142" i="3"/>
  <c r="CU130" i="3"/>
  <c r="CQ120" i="3"/>
  <c r="CP101" i="3"/>
  <c r="CT81" i="3"/>
  <c r="CQ54" i="3"/>
  <c r="CF12" i="4" s="1"/>
  <c r="CT42" i="3"/>
  <c r="CM38" i="3"/>
  <c r="CP36" i="3"/>
  <c r="CQ31" i="3"/>
  <c r="N13" i="5"/>
  <c r="AG109" i="3"/>
  <c r="CT130" i="3"/>
  <c r="CP108" i="3"/>
  <c r="CM142" i="3"/>
  <c r="CM100" i="3"/>
  <c r="G83" i="5"/>
  <c r="X83" i="5" s="1"/>
  <c r="CQ57" i="3"/>
  <c r="K13" i="5"/>
  <c r="K12" i="5"/>
  <c r="O15" i="5"/>
  <c r="CU121" i="3"/>
  <c r="CQ146" i="3"/>
  <c r="K121" i="5"/>
  <c r="K133" i="5" s="1"/>
  <c r="K134" i="5" s="1"/>
  <c r="CU57" i="3"/>
  <c r="CQ147" i="3"/>
  <c r="CQ150" i="3"/>
  <c r="CP61" i="3"/>
  <c r="O24" i="5"/>
  <c r="O44" i="5" s="1"/>
  <c r="O45" i="5" s="1"/>
  <c r="K48" i="5"/>
  <c r="AR48" i="5" s="1"/>
  <c r="BH48" i="5" s="1"/>
  <c r="AR54" i="5" s="1"/>
  <c r="AR8" i="5" s="1"/>
  <c r="N24" i="5"/>
  <c r="AE24" i="5" s="1"/>
  <c r="J175" i="5"/>
  <c r="J181" i="5" s="1"/>
  <c r="J182" i="5" s="1"/>
  <c r="CT152" i="3"/>
  <c r="CU127" i="3"/>
  <c r="CL119" i="3"/>
  <c r="CT83" i="3"/>
  <c r="CU76" i="3"/>
  <c r="CT64" i="3"/>
  <c r="CQ58" i="3"/>
  <c r="CU42" i="3"/>
  <c r="CT39" i="3"/>
  <c r="CL37" i="3"/>
  <c r="CQ32" i="3"/>
  <c r="H70" i="5"/>
  <c r="Y70" i="5" s="1"/>
  <c r="CV79" i="3"/>
  <c r="CN32" i="3"/>
  <c r="L48" i="5"/>
  <c r="AS48" i="5" s="1"/>
  <c r="BI48" i="5" s="1"/>
  <c r="AS54" i="5" s="1"/>
  <c r="AS8" i="5" s="1"/>
  <c r="H7" i="5"/>
  <c r="P7" i="5"/>
  <c r="X109" i="3"/>
  <c r="CR119" i="3"/>
  <c r="CV53" i="3"/>
  <c r="H58" i="5"/>
  <c r="Y58" i="5" s="1"/>
  <c r="L70" i="5"/>
  <c r="AC70" i="5" s="1"/>
  <c r="CN119" i="3"/>
  <c r="CN120" i="3"/>
  <c r="L24" i="5"/>
  <c r="AC24" i="5" s="1"/>
  <c r="Z109" i="3"/>
  <c r="CR141" i="3"/>
  <c r="CV97" i="3"/>
  <c r="CN85" i="3"/>
  <c r="CR75" i="3"/>
  <c r="CR31" i="3"/>
  <c r="CN143" i="3"/>
  <c r="CV147" i="3"/>
  <c r="CR61" i="3"/>
  <c r="CN142" i="3"/>
  <c r="P8" i="5"/>
  <c r="L7" i="5"/>
  <c r="P24" i="5"/>
  <c r="P44" i="5" s="1"/>
  <c r="P45" i="5" s="1"/>
  <c r="CV144" i="3"/>
  <c r="CV141" i="3"/>
  <c r="CV75" i="3"/>
  <c r="H109" i="5"/>
  <c r="Y109" i="5" s="1"/>
  <c r="CO100" i="3"/>
  <c r="P10" i="5"/>
  <c r="CV100" i="3"/>
  <c r="CV78" i="3"/>
  <c r="CR82" i="3"/>
  <c r="CT54" i="3"/>
  <c r="CI12" i="4" s="1"/>
  <c r="J58" i="5"/>
  <c r="AQ58" i="5" s="1"/>
  <c r="BG58" i="5" s="1"/>
  <c r="N7" i="5"/>
  <c r="CN151" i="3"/>
  <c r="W109" i="3"/>
  <c r="CL77" i="3"/>
  <c r="CN60" i="3"/>
  <c r="CP55" i="3"/>
  <c r="H21" i="3"/>
  <c r="CN65" i="3" s="1"/>
  <c r="CN101" i="3"/>
  <c r="I161" i="5"/>
  <c r="Z161" i="5" s="1"/>
  <c r="CO84" i="3"/>
  <c r="CO125" i="3"/>
  <c r="CO148" i="3"/>
  <c r="I13" i="5"/>
  <c r="CO122" i="3"/>
  <c r="CK104" i="3"/>
  <c r="CM76" i="3"/>
  <c r="CS39" i="3"/>
  <c r="P70" i="5"/>
  <c r="P79" i="5" s="1"/>
  <c r="P80" i="5" s="1"/>
  <c r="CV122" i="3"/>
  <c r="P13" i="5"/>
  <c r="O58" i="5"/>
  <c r="AV58" i="5" s="1"/>
  <c r="BL58" i="5" s="1"/>
  <c r="CU33" i="3"/>
  <c r="CV123" i="3"/>
  <c r="CQ99" i="3"/>
  <c r="CS101" i="3"/>
  <c r="CS128" i="3"/>
  <c r="M14" i="5"/>
  <c r="CS148" i="3"/>
  <c r="CS60" i="3"/>
  <c r="K7" i="5"/>
  <c r="J48" i="5"/>
  <c r="AA48" i="5" s="1"/>
  <c r="F10" i="5"/>
  <c r="G8" i="5"/>
  <c r="J9" i="5"/>
  <c r="E15" i="5"/>
  <c r="E16" i="5"/>
  <c r="CS41" i="3"/>
  <c r="CN152" i="3"/>
  <c r="CN148" i="3"/>
  <c r="CP143" i="3"/>
  <c r="P21" i="3"/>
  <c r="CV87" i="3" s="1"/>
  <c r="AD109" i="3"/>
  <c r="CK130" i="3"/>
  <c r="CN86" i="3"/>
  <c r="CN84" i="3"/>
  <c r="CP77" i="3"/>
  <c r="CK62" i="3"/>
  <c r="CV41" i="3"/>
  <c r="CN38" i="3"/>
  <c r="CU32" i="3"/>
  <c r="CU31" i="3"/>
  <c r="CU143" i="3"/>
  <c r="CO78" i="3"/>
  <c r="I70" i="5"/>
  <c r="AP70" i="5" s="1"/>
  <c r="BF70" i="5" s="1"/>
  <c r="CN129" i="3"/>
  <c r="CN108" i="3"/>
  <c r="CT53" i="3"/>
  <c r="I10" i="5"/>
  <c r="CO83" i="3"/>
  <c r="CO62" i="3"/>
  <c r="CO38" i="3"/>
  <c r="CO107" i="3"/>
  <c r="CS38" i="3"/>
  <c r="CM32" i="3"/>
  <c r="CM98" i="3"/>
  <c r="G48" i="5"/>
  <c r="X48" i="5" s="1"/>
  <c r="O9" i="5"/>
  <c r="CR34" i="3"/>
  <c r="CV102" i="3"/>
  <c r="CS147" i="3"/>
  <c r="CS40" i="3"/>
  <c r="CS125" i="3"/>
  <c r="M161" i="5"/>
  <c r="M171" i="5" s="1"/>
  <c r="M172" i="5" s="1"/>
  <c r="P14" i="5"/>
  <c r="K24" i="5"/>
  <c r="AB24" i="5" s="1"/>
  <c r="F8" i="5"/>
  <c r="F70" i="5"/>
  <c r="W70" i="5" s="1"/>
  <c r="L185" i="5"/>
  <c r="L195" i="5" s="1"/>
  <c r="L196" i="5" s="1"/>
  <c r="O8" i="5"/>
  <c r="H137" i="5"/>
  <c r="Y137" i="5" s="1"/>
  <c r="E161" i="5"/>
  <c r="V161" i="5" s="1"/>
  <c r="H17" i="5"/>
  <c r="CR152" i="3"/>
  <c r="CK150" i="3"/>
  <c r="AE109" i="3"/>
  <c r="CK128" i="3"/>
  <c r="CQ98" i="3"/>
  <c r="CR86" i="3"/>
  <c r="CS84" i="3"/>
  <c r="CK83" i="3"/>
  <c r="CQ77" i="3"/>
  <c r="CN63" i="3"/>
  <c r="CM54" i="3"/>
  <c r="CB12" i="4" s="1"/>
  <c r="CN42" i="3"/>
  <c r="CP33" i="3"/>
  <c r="CQ104" i="3"/>
  <c r="CU126" i="3"/>
  <c r="CQ126" i="3"/>
  <c r="CU81" i="3"/>
  <c r="E9" i="5"/>
  <c r="M9" i="5"/>
  <c r="F24" i="5"/>
  <c r="F44" i="5" s="1"/>
  <c r="F45" i="5" s="1"/>
  <c r="G10" i="5"/>
  <c r="K161" i="5"/>
  <c r="AB161" i="5" s="1"/>
  <c r="O18" i="5"/>
  <c r="CQ85" i="3"/>
  <c r="CK80" i="3"/>
  <c r="CU64" i="3"/>
  <c r="CQ61" i="3"/>
  <c r="CK33" i="3"/>
  <c r="CL31" i="3"/>
  <c r="CO59" i="3"/>
  <c r="CO147" i="3"/>
  <c r="CL102" i="3"/>
  <c r="CL147" i="3"/>
  <c r="CM34" i="3"/>
  <c r="F109" i="5"/>
  <c r="F117" i="5" s="1"/>
  <c r="F118" i="5" s="1"/>
  <c r="CM56" i="3"/>
  <c r="CV37" i="3"/>
  <c r="CV99" i="3"/>
  <c r="CV125" i="3"/>
  <c r="CU148" i="3"/>
  <c r="O147" i="5"/>
  <c r="O157" i="5" s="1"/>
  <c r="O158" i="5" s="1"/>
  <c r="CQ148" i="3"/>
  <c r="CV81" i="3"/>
  <c r="CU104" i="3"/>
  <c r="CU147" i="3"/>
  <c r="CM83" i="3"/>
  <c r="CS145" i="3"/>
  <c r="N109" i="5"/>
  <c r="N117" i="5" s="1"/>
  <c r="N118" i="5" s="1"/>
  <c r="CT36" i="3"/>
  <c r="CS76" i="3"/>
  <c r="CS143" i="3"/>
  <c r="M10" i="5"/>
  <c r="CV62" i="3"/>
  <c r="L137" i="5"/>
  <c r="AC137" i="5" s="1"/>
  <c r="F58" i="5"/>
  <c r="F66" i="5" s="1"/>
  <c r="F67" i="5" s="1"/>
  <c r="J109" i="5"/>
  <c r="J117" i="5" s="1"/>
  <c r="J118" i="5" s="1"/>
  <c r="F7" i="5"/>
  <c r="P121" i="5"/>
  <c r="P133" i="5" s="1"/>
  <c r="P134" i="5" s="1"/>
  <c r="H175" i="5"/>
  <c r="Y175" i="5" s="1"/>
  <c r="P17" i="5"/>
  <c r="O185" i="5"/>
  <c r="AV185" i="5" s="1"/>
  <c r="BL185" i="5" s="1"/>
  <c r="AV195" i="5" s="1"/>
  <c r="AV18" i="5" s="1"/>
  <c r="CR151" i="3"/>
  <c r="CV149" i="3"/>
  <c r="CK143" i="3"/>
  <c r="CN130" i="3"/>
  <c r="CQ129" i="3"/>
  <c r="CQ128" i="3"/>
  <c r="CN126" i="3"/>
  <c r="CS123" i="3"/>
  <c r="CT120" i="3"/>
  <c r="I21" i="3"/>
  <c r="CO153" i="3" s="1"/>
  <c r="CQ108" i="3"/>
  <c r="CN107" i="3"/>
  <c r="CP102" i="3"/>
  <c r="CL99" i="3"/>
  <c r="CT97" i="3"/>
  <c r="CU86" i="3"/>
  <c r="CU84" i="3"/>
  <c r="CU83" i="3"/>
  <c r="CM82" i="3"/>
  <c r="CP80" i="3"/>
  <c r="CT76" i="3"/>
  <c r="CM64" i="3"/>
  <c r="CL59" i="3"/>
  <c r="CP56" i="3"/>
  <c r="CR42" i="3"/>
  <c r="CQ40" i="3"/>
  <c r="CN39" i="3"/>
  <c r="CS34" i="3"/>
  <c r="CL33" i="3"/>
  <c r="CL103" i="3"/>
  <c r="CM144" i="3"/>
  <c r="O121" i="5"/>
  <c r="AV121" i="5" s="1"/>
  <c r="BL121" i="5" s="1"/>
  <c r="AV133" i="5" s="1"/>
  <c r="AV13" i="5" s="1"/>
  <c r="CU105" i="3"/>
  <c r="CS77" i="3"/>
  <c r="CS122" i="3"/>
  <c r="CS144" i="3"/>
  <c r="K147" i="5"/>
  <c r="K157" i="5" s="1"/>
  <c r="K158" i="5" s="1"/>
  <c r="G14" i="5"/>
  <c r="CM130" i="3"/>
  <c r="CO123" i="3"/>
  <c r="CU108" i="3"/>
  <c r="CM107" i="3"/>
  <c r="CL75" i="3"/>
  <c r="CM122" i="3"/>
  <c r="CS33" i="3"/>
  <c r="CO55" i="3"/>
  <c r="CO103" i="3"/>
  <c r="D19" i="3"/>
  <c r="CJ129" i="3" s="1"/>
  <c r="CO37" i="3"/>
  <c r="CL146" i="3"/>
  <c r="CM39" i="3"/>
  <c r="CL124" i="3"/>
  <c r="F13" i="5"/>
  <c r="F12" i="5"/>
  <c r="CU82" i="3"/>
  <c r="K137" i="5"/>
  <c r="AB137" i="5" s="1"/>
  <c r="CR125" i="3"/>
  <c r="CR38" i="3"/>
  <c r="CU149" i="3"/>
  <c r="CU61" i="3"/>
  <c r="CV103" i="3"/>
  <c r="O13" i="5"/>
  <c r="CQ106" i="3"/>
  <c r="CK77" i="3"/>
  <c r="CT142" i="3"/>
  <c r="M13" i="5"/>
  <c r="CS35" i="3"/>
  <c r="CS59" i="3"/>
  <c r="J10" i="5"/>
  <c r="F9" i="5"/>
  <c r="I83" i="5"/>
  <c r="I105" i="5" s="1"/>
  <c r="I106" i="5" s="1"/>
  <c r="H14" i="5"/>
  <c r="G175" i="5"/>
  <c r="X175" i="5" s="1"/>
  <c r="M12" i="5"/>
  <c r="L17" i="5"/>
  <c r="K18" i="5"/>
  <c r="CV151" i="3"/>
  <c r="CP146" i="3"/>
  <c r="CL143" i="3"/>
  <c r="CL142" i="3"/>
  <c r="CU129" i="3"/>
  <c r="CU128" i="3"/>
  <c r="CP124" i="3"/>
  <c r="CP121" i="3"/>
  <c r="CT119" i="3"/>
  <c r="F21" i="3"/>
  <c r="CL109" i="3" s="1"/>
  <c r="CR108" i="3"/>
  <c r="CV107" i="3"/>
  <c r="CN104" i="3"/>
  <c r="CL97" i="3"/>
  <c r="CM86" i="3"/>
  <c r="CM85" i="3"/>
  <c r="CT75" i="3"/>
  <c r="CN64" i="3"/>
  <c r="CU62" i="3"/>
  <c r="CL36" i="3"/>
  <c r="CO33" i="3"/>
  <c r="CN102" i="3"/>
  <c r="I147" i="5"/>
  <c r="AP147" i="5" s="1"/>
  <c r="BF147" i="5" s="1"/>
  <c r="CO151" i="3"/>
  <c r="J161" i="5"/>
  <c r="AA161" i="5" s="1"/>
  <c r="CO63" i="3"/>
  <c r="CV33" i="3"/>
  <c r="J16" i="5"/>
  <c r="CV83" i="3"/>
  <c r="CS120" i="3"/>
  <c r="N58" i="5"/>
  <c r="AE58" i="5" s="1"/>
  <c r="P48" i="5"/>
  <c r="P54" i="5" s="1"/>
  <c r="P55" i="5" s="1"/>
  <c r="I8" i="5"/>
  <c r="N9" i="5"/>
  <c r="G13" i="5"/>
  <c r="N161" i="5"/>
  <c r="AE161" i="5" s="1"/>
  <c r="G16" i="5"/>
  <c r="M18" i="5"/>
  <c r="CL148" i="3"/>
  <c r="CV127" i="3"/>
  <c r="CT121" i="3"/>
  <c r="CM106" i="3"/>
  <c r="N21" i="3"/>
  <c r="N19" i="5" s="1"/>
  <c r="CS86" i="3"/>
  <c r="CL63" i="3"/>
  <c r="CO57" i="3"/>
  <c r="CP37" i="3"/>
  <c r="CV39" i="3"/>
  <c r="L121" i="5"/>
  <c r="AS121" i="5" s="1"/>
  <c r="BI121" i="5" s="1"/>
  <c r="AS133" i="5" s="1"/>
  <c r="AS13" i="5" s="1"/>
  <c r="J121" i="5"/>
  <c r="AQ121" i="5" s="1"/>
  <c r="BG121" i="5" s="1"/>
  <c r="AQ133" i="5" s="1"/>
  <c r="AQ13" i="5" s="1"/>
  <c r="CO145" i="3"/>
  <c r="CT33" i="3"/>
  <c r="CN33" i="3"/>
  <c r="E109" i="5"/>
  <c r="V109" i="5" s="1"/>
  <c r="CN99" i="3"/>
  <c r="H12" i="5"/>
  <c r="CO105" i="3"/>
  <c r="I17" i="5"/>
  <c r="CP130" i="3"/>
  <c r="CP152" i="3"/>
  <c r="D16" i="3"/>
  <c r="CJ82" i="3" s="1"/>
  <c r="CP60" i="3"/>
  <c r="G11" i="5"/>
  <c r="CP85" i="3"/>
  <c r="J13" i="5"/>
  <c r="CR79" i="3"/>
  <c r="CR147" i="3"/>
  <c r="L11" i="5"/>
  <c r="L109" i="5"/>
  <c r="L117" i="5" s="1"/>
  <c r="L118" i="5" s="1"/>
  <c r="CQ56" i="3"/>
  <c r="K58" i="5"/>
  <c r="AB58" i="5" s="1"/>
  <c r="CV143" i="3"/>
  <c r="CV55" i="3"/>
  <c r="L12" i="5"/>
  <c r="CV146" i="3"/>
  <c r="O14" i="5"/>
  <c r="CQ78" i="3"/>
  <c r="CQ60" i="3"/>
  <c r="CV145" i="3"/>
  <c r="O70" i="5"/>
  <c r="AV70" i="5" s="1"/>
  <c r="BL70" i="5" s="1"/>
  <c r="CU106" i="3"/>
  <c r="CQ33" i="3"/>
  <c r="O10" i="5"/>
  <c r="CU103" i="3"/>
  <c r="CM61" i="3"/>
  <c r="CK121" i="3"/>
  <c r="CP128" i="3"/>
  <c r="J18" i="5"/>
  <c r="N8" i="5"/>
  <c r="CS142" i="3"/>
  <c r="CT98" i="3"/>
  <c r="M11" i="5"/>
  <c r="J7" i="5"/>
  <c r="J24" i="5"/>
  <c r="AQ24" i="5" s="1"/>
  <c r="BG24" i="5" s="1"/>
  <c r="CN75" i="3"/>
  <c r="F48" i="5"/>
  <c r="AM48" i="5" s="1"/>
  <c r="BC48" i="5" s="1"/>
  <c r="AM54" i="5" s="1"/>
  <c r="AM8" i="5" s="1"/>
  <c r="M175" i="5"/>
  <c r="M181" i="5" s="1"/>
  <c r="M182" i="5" s="1"/>
  <c r="M83" i="5"/>
  <c r="AD83" i="5" s="1"/>
  <c r="G121" i="5"/>
  <c r="G133" i="5" s="1"/>
  <c r="G134" i="5" s="1"/>
  <c r="H16" i="5"/>
  <c r="L83" i="5"/>
  <c r="L105" i="5" s="1"/>
  <c r="L106" i="5" s="1"/>
  <c r="N147" i="5"/>
  <c r="AU147" i="5" s="1"/>
  <c r="BK147" i="5" s="1"/>
  <c r="G161" i="5"/>
  <c r="AN161" i="5" s="1"/>
  <c r="BD161" i="5" s="1"/>
  <c r="O161" i="5"/>
  <c r="O171" i="5" s="1"/>
  <c r="O172" i="5" s="1"/>
  <c r="CM150" i="3"/>
  <c r="CO146" i="3"/>
  <c r="CS129" i="3"/>
  <c r="CN124" i="3"/>
  <c r="CV121" i="3"/>
  <c r="CN121" i="3"/>
  <c r="CV108" i="3"/>
  <c r="CS107" i="3"/>
  <c r="CN106" i="3"/>
  <c r="CO101" i="3"/>
  <c r="CT86" i="3"/>
  <c r="CQ84" i="3"/>
  <c r="CP81" i="3"/>
  <c r="CL76" i="3"/>
  <c r="CM75" i="3"/>
  <c r="M21" i="3"/>
  <c r="CS109" i="3" s="1"/>
  <c r="AA87" i="3"/>
  <c r="CM63" i="3"/>
  <c r="CN62" i="3"/>
  <c r="CV58" i="3"/>
  <c r="CO58" i="3"/>
  <c r="CL54" i="3"/>
  <c r="CA12" i="4" s="1"/>
  <c r="CN53" i="3"/>
  <c r="CK42" i="3"/>
  <c r="CU40" i="3"/>
  <c r="CM40" i="3"/>
  <c r="CQ38" i="3"/>
  <c r="CR37" i="3"/>
  <c r="CV36" i="3"/>
  <c r="CO35" i="3"/>
  <c r="CL32" i="3"/>
  <c r="N18" i="5"/>
  <c r="G17" i="5"/>
  <c r="G147" i="5"/>
  <c r="AN147" i="5" s="1"/>
  <c r="BD147" i="5" s="1"/>
  <c r="AN157" i="5" s="1"/>
  <c r="AN15" i="5" s="1"/>
  <c r="CM79" i="3"/>
  <c r="CT32" i="3"/>
  <c r="CN97" i="3"/>
  <c r="D13" i="3"/>
  <c r="CN55" i="3"/>
  <c r="CP103" i="3"/>
  <c r="CP59" i="3"/>
  <c r="CR103" i="3"/>
  <c r="P9" i="5"/>
  <c r="M147" i="5"/>
  <c r="M157" i="5" s="1"/>
  <c r="M158" i="5" s="1"/>
  <c r="P58" i="5"/>
  <c r="P66" i="5" s="1"/>
  <c r="P67" i="5" s="1"/>
  <c r="CR146" i="3"/>
  <c r="CV124" i="3"/>
  <c r="K9" i="5"/>
  <c r="P83" i="5"/>
  <c r="P105" i="5" s="1"/>
  <c r="P106" i="5" s="1"/>
  <c r="P15" i="5"/>
  <c r="E185" i="5"/>
  <c r="E195" i="5" s="1"/>
  <c r="E196" i="5" s="1"/>
  <c r="CK152" i="3"/>
  <c r="CM103" i="3"/>
  <c r="CT99" i="3"/>
  <c r="CM97" i="3"/>
  <c r="X87" i="3"/>
  <c r="CK86" i="3"/>
  <c r="CP84" i="3"/>
  <c r="CT77" i="3"/>
  <c r="CM62" i="3"/>
  <c r="E13" i="5"/>
  <c r="CN77" i="3"/>
  <c r="CN146" i="3"/>
  <c r="CN80" i="3"/>
  <c r="CO130" i="3"/>
  <c r="CO129" i="3"/>
  <c r="CP42" i="3"/>
  <c r="CP62" i="3"/>
  <c r="CO41" i="3"/>
  <c r="CP39" i="3"/>
  <c r="CM145" i="3"/>
  <c r="G15" i="5"/>
  <c r="F83" i="5"/>
  <c r="W83" i="5" s="1"/>
  <c r="CM57" i="3"/>
  <c r="CP129" i="3"/>
  <c r="CR59" i="3"/>
  <c r="CQ100" i="3"/>
  <c r="CQ143" i="3"/>
  <c r="P11" i="5"/>
  <c r="CU34" i="3"/>
  <c r="CU125" i="3"/>
  <c r="CV57" i="3"/>
  <c r="P12" i="5"/>
  <c r="CR81" i="3"/>
  <c r="CT40" i="3"/>
  <c r="CQ122" i="3"/>
  <c r="CU122" i="3"/>
  <c r="CM105" i="3"/>
  <c r="CP150" i="3"/>
  <c r="CS58" i="3"/>
  <c r="CV105" i="3"/>
  <c r="CS105" i="3"/>
  <c r="P147" i="5"/>
  <c r="AW147" i="5" s="1"/>
  <c r="BM147" i="5" s="1"/>
  <c r="H24" i="5"/>
  <c r="H44" i="5" s="1"/>
  <c r="H45" i="5" s="1"/>
  <c r="J8" i="5"/>
  <c r="E58" i="5"/>
  <c r="V58" i="5" s="1"/>
  <c r="P185" i="5"/>
  <c r="P195" i="5" s="1"/>
  <c r="P196" i="5" s="1"/>
  <c r="P109" i="5"/>
  <c r="AG109" i="5" s="1"/>
  <c r="H161" i="5"/>
  <c r="AO161" i="5" s="1"/>
  <c r="BE161" i="5" s="1"/>
  <c r="F11" i="5"/>
  <c r="J147" i="5"/>
  <c r="AQ147" i="5" s="1"/>
  <c r="BG147" i="5" s="1"/>
  <c r="K16" i="5"/>
  <c r="F17" i="5"/>
  <c r="CS151" i="3"/>
  <c r="CL151" i="3"/>
  <c r="CT149" i="3"/>
  <c r="CT143" i="3"/>
  <c r="CT141" i="3"/>
  <c r="CS130" i="3"/>
  <c r="CM128" i="3"/>
  <c r="CP122" i="3"/>
  <c r="CL120" i="3"/>
  <c r="CL107" i="3"/>
  <c r="CT105" i="3"/>
  <c r="CP97" i="3"/>
  <c r="CT78" i="3"/>
  <c r="CL41" i="3"/>
  <c r="CN40" i="3"/>
  <c r="CV35" i="3"/>
  <c r="CV32" i="3"/>
  <c r="CP32" i="3"/>
  <c r="CK147" i="3"/>
  <c r="CK102" i="3"/>
  <c r="CK56" i="3"/>
  <c r="H83" i="5"/>
  <c r="H105" i="5" s="1"/>
  <c r="H106" i="5" s="1"/>
  <c r="CN100" i="3"/>
  <c r="I9" i="5"/>
  <c r="CO86" i="3"/>
  <c r="CO64" i="3"/>
  <c r="CL127" i="3"/>
  <c r="G58" i="5"/>
  <c r="G66" i="5" s="1"/>
  <c r="G67" i="5" s="1"/>
  <c r="CL83" i="3"/>
  <c r="CL145" i="3"/>
  <c r="CO124" i="3"/>
  <c r="CR150" i="3"/>
  <c r="N10" i="5"/>
  <c r="CV128" i="3"/>
  <c r="N70" i="5"/>
  <c r="AU70" i="5" s="1"/>
  <c r="BK70" i="5" s="1"/>
  <c r="CO98" i="3"/>
  <c r="L15" i="5"/>
  <c r="I58" i="5"/>
  <c r="I66" i="5" s="1"/>
  <c r="I67" i="5" s="1"/>
  <c r="J70" i="5"/>
  <c r="AQ70" i="5" s="1"/>
  <c r="BG70" i="5" s="1"/>
  <c r="M48" i="5"/>
  <c r="M54" i="5" s="1"/>
  <c r="M55" i="5" s="1"/>
  <c r="F14" i="5"/>
  <c r="J11" i="5"/>
  <c r="I12" i="5"/>
  <c r="H15" i="5"/>
  <c r="K185" i="5"/>
  <c r="AB185" i="5" s="1"/>
  <c r="CQ152" i="3"/>
  <c r="CT151" i="3"/>
  <c r="AF87" i="3"/>
  <c r="CT104" i="3"/>
  <c r="CN79" i="3"/>
  <c r="CO76" i="3"/>
  <c r="CQ64" i="3"/>
  <c r="CT63" i="3"/>
  <c r="CT60" i="3"/>
  <c r="CL57" i="3"/>
  <c r="CM55" i="3"/>
  <c r="CS54" i="3"/>
  <c r="CH12" i="4" s="1"/>
  <c r="CL35" i="3"/>
  <c r="CO152" i="3"/>
  <c r="D17" i="3"/>
  <c r="CL105" i="3"/>
  <c r="CN57" i="3"/>
  <c r="CL101" i="3"/>
  <c r="CN56" i="3"/>
  <c r="CO99" i="3"/>
  <c r="CM121" i="3"/>
  <c r="CS98" i="3"/>
  <c r="E121" i="5"/>
  <c r="V121" i="5" s="1"/>
  <c r="CK58" i="3"/>
  <c r="CK124" i="3"/>
  <c r="CK122" i="3"/>
  <c r="CN144" i="3"/>
  <c r="CN122" i="3"/>
  <c r="CO121" i="3"/>
  <c r="CO143" i="3"/>
  <c r="D20" i="3"/>
  <c r="CJ86" i="3" s="1"/>
  <c r="I185" i="5"/>
  <c r="Z185" i="5" s="1"/>
  <c r="J14" i="5"/>
  <c r="CL126" i="3"/>
  <c r="D10" i="3"/>
  <c r="F147" i="5"/>
  <c r="F157" i="5" s="1"/>
  <c r="F158" i="5" s="1"/>
  <c r="CL123" i="3"/>
  <c r="CL39" i="3"/>
  <c r="CP148" i="3"/>
  <c r="CR83" i="3"/>
  <c r="CR106" i="3"/>
  <c r="CV40" i="3"/>
  <c r="M109" i="5"/>
  <c r="AD109" i="5" s="1"/>
  <c r="CV84" i="3"/>
  <c r="CT145" i="3"/>
  <c r="M8" i="5"/>
  <c r="I48" i="5"/>
  <c r="Z48" i="5" s="1"/>
  <c r="H10" i="5"/>
  <c r="E8" i="5"/>
  <c r="F185" i="5"/>
  <c r="W185" i="5" s="1"/>
  <c r="J83" i="5"/>
  <c r="J105" i="5" s="1"/>
  <c r="J106" i="5" s="1"/>
  <c r="H147" i="5"/>
  <c r="H157" i="5" s="1"/>
  <c r="H158" i="5" s="1"/>
  <c r="N17" i="5"/>
  <c r="CN149" i="3"/>
  <c r="CS146" i="3"/>
  <c r="CN145" i="3"/>
  <c r="CU142" i="3"/>
  <c r="CT129" i="3"/>
  <c r="CN127" i="3"/>
  <c r="CP123" i="3"/>
  <c r="CU120" i="3"/>
  <c r="CL108" i="3"/>
  <c r="CN105" i="3"/>
  <c r="CP100" i="3"/>
  <c r="CM99" i="3"/>
  <c r="CQ86" i="3"/>
  <c r="CT85" i="3"/>
  <c r="O21" i="3"/>
  <c r="O19" i="5" s="1"/>
  <c r="K21" i="3"/>
  <c r="CQ153" i="3" s="1"/>
  <c r="Y87" i="3"/>
  <c r="CL61" i="3"/>
  <c r="CQ42" i="3"/>
  <c r="CT41" i="3"/>
  <c r="CK125" i="3"/>
  <c r="CK36" i="3"/>
  <c r="D11" i="3"/>
  <c r="D9" i="5" s="1"/>
  <c r="CN123" i="3"/>
  <c r="CN78" i="3"/>
  <c r="CO108" i="3"/>
  <c r="J137" i="5"/>
  <c r="AQ137" i="5" s="1"/>
  <c r="BG137" i="5" s="1"/>
  <c r="AQ143" i="5" s="1"/>
  <c r="AQ14" i="5" s="1"/>
  <c r="CO80" i="3"/>
  <c r="CM33" i="3"/>
  <c r="CL149" i="3"/>
  <c r="CM77" i="3"/>
  <c r="CM143" i="3"/>
  <c r="CR149" i="3"/>
  <c r="E10" i="5"/>
  <c r="CS80" i="3"/>
  <c r="L147" i="5"/>
  <c r="L157" i="5" s="1"/>
  <c r="L158" i="5" s="1"/>
  <c r="CS124" i="3"/>
  <c r="D9" i="3"/>
  <c r="CO120" i="3"/>
  <c r="G24" i="5"/>
  <c r="AN24" i="5" s="1"/>
  <c r="BD24" i="5" s="1"/>
  <c r="O48" i="5"/>
  <c r="O54" i="5" s="1"/>
  <c r="O55" i="5" s="1"/>
  <c r="K175" i="5"/>
  <c r="AR175" i="5" s="1"/>
  <c r="BH175" i="5" s="1"/>
  <c r="AR181" i="5" s="1"/>
  <c r="AR17" i="5" s="1"/>
  <c r="N83" i="5"/>
  <c r="AU83" i="5" s="1"/>
  <c r="BK83" i="5" s="1"/>
  <c r="AU105" i="5" s="1"/>
  <c r="AU11" i="5" s="1"/>
  <c r="N175" i="5"/>
  <c r="AU175" i="5" s="1"/>
  <c r="BK175" i="5" s="1"/>
  <c r="AU181" i="5" s="1"/>
  <c r="AU17" i="5" s="1"/>
  <c r="CV150" i="3"/>
  <c r="CP145" i="3"/>
  <c r="CP144" i="3"/>
  <c r="CM141" i="3"/>
  <c r="CN103" i="3"/>
  <c r="CL84" i="3"/>
  <c r="CN83" i="3"/>
  <c r="CP79" i="3"/>
  <c r="CP78" i="3"/>
  <c r="L21" i="3"/>
  <c r="CR87" i="3" s="1"/>
  <c r="CQ63" i="3"/>
  <c r="CL62" i="3"/>
  <c r="CN59" i="3"/>
  <c r="CP57" i="3"/>
  <c r="J21" i="3"/>
  <c r="J19" i="5" s="1"/>
  <c r="CR55" i="3"/>
  <c r="AD87" i="3"/>
  <c r="CR121" i="3"/>
  <c r="L58" i="5"/>
  <c r="AS58" i="5" s="1"/>
  <c r="BI58" i="5" s="1"/>
  <c r="AS66" i="5" s="1"/>
  <c r="AS9" i="5" s="1"/>
  <c r="CR77" i="3"/>
  <c r="CR99" i="3"/>
  <c r="CR143" i="3"/>
  <c r="CR33" i="3"/>
  <c r="D15" i="3"/>
  <c r="CK59" i="3"/>
  <c r="D14" i="3"/>
  <c r="CK123" i="3"/>
  <c r="CO39" i="3"/>
  <c r="CP82" i="3"/>
  <c r="CO149" i="3"/>
  <c r="CK126" i="3"/>
  <c r="G109" i="5"/>
  <c r="G117" i="5" s="1"/>
  <c r="G118" i="5" s="1"/>
  <c r="CP107" i="3"/>
  <c r="CR145" i="3"/>
  <c r="CS61" i="3"/>
  <c r="CR56" i="3"/>
  <c r="CR102" i="3"/>
  <c r="CR104" i="3"/>
  <c r="CU60" i="3"/>
  <c r="N16" i="5"/>
  <c r="K14" i="5"/>
  <c r="CR127" i="3"/>
  <c r="CR39" i="3"/>
  <c r="E70" i="5"/>
  <c r="AL70" i="5" s="1"/>
  <c r="BB70" i="5" s="1"/>
  <c r="CK78" i="3"/>
  <c r="CK100" i="3"/>
  <c r="G21" i="3"/>
  <c r="CP83" i="3"/>
  <c r="CP127" i="3"/>
  <c r="CP105" i="3"/>
  <c r="CR62" i="3"/>
  <c r="CV104" i="3"/>
  <c r="CS149" i="3"/>
  <c r="P137" i="5"/>
  <c r="P143" i="5" s="1"/>
  <c r="P144" i="5" s="1"/>
  <c r="CS62" i="3"/>
  <c r="CS82" i="3"/>
  <c r="CV148" i="3"/>
  <c r="N11" i="5"/>
  <c r="N137" i="5"/>
  <c r="AE137" i="5" s="1"/>
  <c r="CV106" i="3"/>
  <c r="P16" i="5"/>
  <c r="CN98" i="3"/>
  <c r="CS104" i="3"/>
  <c r="L14" i="5"/>
  <c r="CR148" i="3"/>
  <c r="M7" i="5"/>
  <c r="L8" i="5"/>
  <c r="E48" i="5"/>
  <c r="AL48" i="5" s="1"/>
  <c r="BB48" i="5" s="1"/>
  <c r="N12" i="5"/>
  <c r="F137" i="5"/>
  <c r="F143" i="5" s="1"/>
  <c r="F144" i="5" s="1"/>
  <c r="E147" i="5"/>
  <c r="E157" i="5" s="1"/>
  <c r="E158" i="5" s="1"/>
  <c r="F161" i="5"/>
  <c r="F171" i="5" s="1"/>
  <c r="F172" i="5" s="1"/>
  <c r="L16" i="5"/>
  <c r="O175" i="5"/>
  <c r="O181" i="5" s="1"/>
  <c r="O182" i="5" s="1"/>
  <c r="M70" i="5"/>
  <c r="AD70" i="5" s="1"/>
  <c r="I109" i="5"/>
  <c r="I117" i="5" s="1"/>
  <c r="I118" i="5" s="1"/>
  <c r="H13" i="5"/>
  <c r="G137" i="5"/>
  <c r="AN137" i="5" s="1"/>
  <c r="BD137" i="5" s="1"/>
  <c r="AN143" i="5" s="1"/>
  <c r="AN14" i="5" s="1"/>
  <c r="N15" i="5"/>
  <c r="L175" i="5"/>
  <c r="AC175" i="5" s="1"/>
  <c r="P175" i="5"/>
  <c r="P181" i="5" s="1"/>
  <c r="P182" i="5" s="1"/>
  <c r="G185" i="5"/>
  <c r="G195" i="5" s="1"/>
  <c r="G196" i="5" s="1"/>
  <c r="M185" i="5"/>
  <c r="M195" i="5" s="1"/>
  <c r="M196" i="5" s="1"/>
  <c r="CK39" i="3"/>
  <c r="CN150" i="3"/>
  <c r="CK149" i="3"/>
  <c r="CN147" i="3"/>
  <c r="CQ144" i="3"/>
  <c r="CO142" i="3"/>
  <c r="CU141" i="3"/>
  <c r="CQ141" i="3"/>
  <c r="CV129" i="3"/>
  <c r="CR129" i="3"/>
  <c r="CL129" i="3"/>
  <c r="CM126" i="3"/>
  <c r="CL122" i="3"/>
  <c r="CP120" i="3"/>
  <c r="CU119" i="3"/>
  <c r="CQ119" i="3"/>
  <c r="CK119" i="3"/>
  <c r="CS108" i="3"/>
  <c r="CM108" i="3"/>
  <c r="CU107" i="3"/>
  <c r="CQ107" i="3"/>
  <c r="CK107" i="3"/>
  <c r="CK105" i="3"/>
  <c r="CM104" i="3"/>
  <c r="CS102" i="3"/>
  <c r="CL100" i="3"/>
  <c r="CR98" i="3"/>
  <c r="CK98" i="3"/>
  <c r="CS97" i="3"/>
  <c r="CR85" i="3"/>
  <c r="CR80" i="3"/>
  <c r="CS79" i="3"/>
  <c r="CU78" i="3"/>
  <c r="CV76" i="3"/>
  <c r="CR76" i="3"/>
  <c r="CU75" i="3"/>
  <c r="CQ75" i="3"/>
  <c r="CK75" i="3"/>
  <c r="CV64" i="3"/>
  <c r="CR64" i="3"/>
  <c r="CL64" i="3"/>
  <c r="CP63" i="3"/>
  <c r="CK63" i="3"/>
  <c r="CT61" i="3"/>
  <c r="CL60" i="3"/>
  <c r="CL56" i="3"/>
  <c r="CL55" i="3"/>
  <c r="CR54" i="3"/>
  <c r="CG12" i="4" s="1"/>
  <c r="CP54" i="3"/>
  <c r="CE12" i="4" s="1"/>
  <c r="CU53" i="3"/>
  <c r="CQ53" i="3"/>
  <c r="CK53" i="3"/>
  <c r="CN36" i="3"/>
  <c r="CR35" i="3"/>
  <c r="CT34" i="3"/>
  <c r="CL34" i="3"/>
  <c r="P18" i="5"/>
  <c r="F18" i="5"/>
  <c r="O17" i="5"/>
  <c r="CP41" i="3"/>
  <c r="E17" i="5"/>
  <c r="CR40" i="3"/>
  <c r="CS83" i="3"/>
  <c r="CQ39" i="3"/>
  <c r="CO127" i="3"/>
  <c r="CV38" i="3"/>
  <c r="CT38" i="3"/>
  <c r="CR126" i="3"/>
  <c r="CP38" i="3"/>
  <c r="CK38" i="3"/>
  <c r="CT124" i="3"/>
  <c r="CR36" i="3"/>
  <c r="CM124" i="3"/>
  <c r="CT57" i="3"/>
  <c r="CR57" i="3"/>
  <c r="CT56" i="3"/>
  <c r="L10" i="5"/>
  <c r="CK34" i="3"/>
  <c r="CN76" i="3"/>
  <c r="CK37" i="3"/>
  <c r="CK103" i="3"/>
  <c r="D12" i="3"/>
  <c r="I15" i="5"/>
  <c r="CP126" i="3"/>
  <c r="E137" i="5"/>
  <c r="E143" i="5" s="1"/>
  <c r="E144" i="5" s="1"/>
  <c r="CM58" i="3"/>
  <c r="CP151" i="3"/>
  <c r="CR101" i="3"/>
  <c r="CS127" i="3"/>
  <c r="CR100" i="3"/>
  <c r="CR122" i="3"/>
  <c r="CR124" i="3"/>
  <c r="CV60" i="3"/>
  <c r="CT100" i="3"/>
  <c r="CR128" i="3"/>
  <c r="CT148" i="3"/>
  <c r="N14" i="5"/>
  <c r="L161" i="5"/>
  <c r="L171" i="5" s="1"/>
  <c r="L172" i="5" s="1"/>
  <c r="CT58" i="3"/>
  <c r="CT80" i="3"/>
  <c r="CN54" i="3"/>
  <c r="CC12" i="4" s="1"/>
  <c r="G7" i="5"/>
  <c r="M24" i="5"/>
  <c r="AT24" i="5" s="1"/>
  <c r="BJ24" i="5" s="1"/>
  <c r="K15" i="5"/>
  <c r="H121" i="5"/>
  <c r="H133" i="5" s="1"/>
  <c r="H134" i="5" s="1"/>
  <c r="CV152" i="3"/>
  <c r="CL152" i="3"/>
  <c r="CR144" i="3"/>
  <c r="CV142" i="3"/>
  <c r="CP142" i="3"/>
  <c r="CQ127" i="3"/>
  <c r="CV120" i="3"/>
  <c r="CR107" i="3"/>
  <c r="CL106" i="3"/>
  <c r="CT102" i="3"/>
  <c r="CT101" i="3"/>
  <c r="CV86" i="3"/>
  <c r="CU85" i="3"/>
  <c r="CK85" i="3"/>
  <c r="CN81" i="3"/>
  <c r="CT79" i="3"/>
  <c r="CS64" i="3"/>
  <c r="CU63" i="3"/>
  <c r="CM60" i="3"/>
  <c r="CV42" i="3"/>
  <c r="CL42" i="3"/>
  <c r="CR41" i="3"/>
  <c r="CL40" i="3"/>
  <c r="CO36" i="3"/>
  <c r="CT35" i="3"/>
  <c r="CK32" i="3"/>
  <c r="CS31" i="3"/>
  <c r="CK41" i="3"/>
  <c r="CQ41" i="3"/>
  <c r="CU41" i="3"/>
  <c r="CS152" i="3"/>
  <c r="CM152" i="3"/>
  <c r="CQ151" i="3"/>
  <c r="CL150" i="3"/>
  <c r="CQ149" i="3"/>
  <c r="CT144" i="3"/>
  <c r="CL144" i="3"/>
  <c r="CK142" i="3"/>
  <c r="CS141" i="3"/>
  <c r="CR130" i="3"/>
  <c r="CL130" i="3"/>
  <c r="CT126" i="3"/>
  <c r="CN125" i="3"/>
  <c r="CK120" i="3"/>
  <c r="CS119" i="3"/>
  <c r="CM119" i="3"/>
  <c r="CQ105" i="3"/>
  <c r="CV98" i="3"/>
  <c r="CP98" i="3"/>
  <c r="CV85" i="3"/>
  <c r="CL82" i="3"/>
  <c r="CS78" i="3"/>
  <c r="CK76" i="3"/>
  <c r="CS75" i="3"/>
  <c r="CL58" i="3"/>
  <c r="CO54" i="3"/>
  <c r="CD12" i="4" s="1"/>
  <c r="CM53" i="3"/>
  <c r="W87" i="3"/>
  <c r="CL38" i="3"/>
  <c r="CT62" i="3"/>
  <c r="CT150" i="3"/>
  <c r="D18" i="3"/>
  <c r="CT84" i="3"/>
  <c r="CT106" i="3"/>
  <c r="E21" i="3"/>
  <c r="CK65" i="3" s="1"/>
  <c r="F115" i="3"/>
  <c r="U91" i="3"/>
  <c r="CJ47" i="3" s="1"/>
  <c r="CL47" i="5" s="1"/>
  <c r="M22" i="8"/>
  <c r="M39" i="8" s="1"/>
  <c r="R15" i="12" s="1"/>
  <c r="Z100" i="2"/>
  <c r="S158" i="1"/>
  <c r="S159" i="1" s="1"/>
  <c r="E25" i="2"/>
  <c r="E27" i="2" s="1"/>
  <c r="L100" i="2"/>
  <c r="L101" i="2" s="1"/>
  <c r="E100" i="2"/>
  <c r="E101" i="2" s="1"/>
  <c r="L158" i="1"/>
  <c r="L159" i="1" s="1"/>
  <c r="L83" i="2"/>
  <c r="L85" i="2" s="1"/>
  <c r="L42" i="2"/>
  <c r="L43" i="2" s="1"/>
  <c r="S57" i="1"/>
  <c r="S58" i="1" s="1"/>
  <c r="E42" i="2"/>
  <c r="E43" i="2" s="1"/>
  <c r="S100" i="2"/>
  <c r="S101" i="2" s="1"/>
  <c r="S42" i="2"/>
  <c r="S43" i="2" s="1"/>
  <c r="S115" i="2"/>
  <c r="E85" i="2"/>
  <c r="Z57" i="2"/>
  <c r="AK85" i="5"/>
  <c r="CK101" i="3"/>
  <c r="CK79" i="3"/>
  <c r="CK57" i="3"/>
  <c r="E83" i="5"/>
  <c r="E105" i="5" s="1"/>
  <c r="E106" i="5" s="1"/>
  <c r="CK145" i="3"/>
  <c r="L116" i="2"/>
  <c r="S52" i="1"/>
  <c r="L58" i="2"/>
  <c r="E125" i="1"/>
  <c r="E84" i="1"/>
  <c r="L52" i="1"/>
  <c r="Z45" i="2"/>
  <c r="S29" i="2"/>
  <c r="E87" i="2"/>
  <c r="L45" i="2"/>
  <c r="S153" i="1"/>
  <c r="L73" i="1"/>
  <c r="E101" i="1"/>
  <c r="J11" i="7" s="1"/>
  <c r="AE33" i="9" s="1"/>
  <c r="AM33" i="9" s="1"/>
  <c r="AP33" i="9" s="1"/>
  <c r="S174" i="1"/>
  <c r="S45" i="2"/>
  <c r="S60" i="1"/>
  <c r="E51" i="1"/>
  <c r="E24" i="1"/>
  <c r="N21" i="1"/>
  <c r="L103" i="2"/>
  <c r="E103" i="2"/>
  <c r="Z37" i="2"/>
  <c r="E194" i="1"/>
  <c r="M9" i="7" s="1"/>
  <c r="AS31" i="9" s="1"/>
  <c r="E46" i="1"/>
  <c r="E185" i="1"/>
  <c r="L87" i="2"/>
  <c r="L29" i="2"/>
  <c r="S103" i="2"/>
  <c r="S87" i="2"/>
  <c r="Z58" i="2"/>
  <c r="E177" i="1"/>
  <c r="S161" i="1"/>
  <c r="E147" i="1"/>
  <c r="S95" i="2"/>
  <c r="E202" i="1"/>
  <c r="M11" i="7" s="1"/>
  <c r="F31" i="11" s="1"/>
  <c r="S37" i="2"/>
  <c r="E95" i="2"/>
  <c r="Z29" i="2"/>
  <c r="E135" i="1"/>
  <c r="S44" i="1"/>
  <c r="E34" i="1"/>
  <c r="S73" i="1"/>
  <c r="E116" i="2"/>
  <c r="L95" i="2"/>
  <c r="S116" i="2"/>
  <c r="L37" i="2"/>
  <c r="E152" i="1"/>
  <c r="S58" i="2"/>
  <c r="S145" i="1"/>
  <c r="U129" i="1"/>
  <c r="E76" i="1"/>
  <c r="L60" i="1"/>
  <c r="L44" i="1"/>
  <c r="N28" i="1"/>
  <c r="D72" i="6"/>
  <c r="D73" i="6" s="1"/>
  <c r="J69" i="6"/>
  <c r="J76" i="6" s="1"/>
  <c r="J68" i="6"/>
  <c r="J75" i="6" s="1"/>
  <c r="I72" i="6"/>
  <c r="I73" i="6" s="1"/>
  <c r="J71" i="6"/>
  <c r="J78" i="6" s="1"/>
  <c r="F72" i="6"/>
  <c r="F73" i="6" s="1"/>
  <c r="G72" i="6"/>
  <c r="G73" i="6" s="1"/>
  <c r="J70" i="6"/>
  <c r="J77" i="6" s="1"/>
  <c r="H72" i="6"/>
  <c r="H73" i="6" s="1"/>
  <c r="AB87" i="3"/>
  <c r="CP75" i="3"/>
  <c r="CP141" i="3"/>
  <c r="CP119" i="3"/>
  <c r="CP53" i="3"/>
  <c r="L122" i="1"/>
  <c r="U28" i="1"/>
  <c r="U21" i="1"/>
  <c r="S21" i="1"/>
  <c r="G15" i="11" s="1"/>
  <c r="U122" i="1"/>
  <c r="L225" i="3"/>
  <c r="AD137" i="3" s="1"/>
  <c r="L40" i="8" s="1"/>
  <c r="K43" i="8" s="1"/>
  <c r="U135" i="3"/>
  <c r="S14" i="2"/>
  <c r="L71" i="3" s="1"/>
  <c r="C71" i="3"/>
  <c r="U114" i="1"/>
  <c r="L313" i="3" s="1"/>
  <c r="L161" i="1"/>
  <c r="N114" i="1"/>
  <c r="L291" i="3" s="1"/>
  <c r="L312" i="3"/>
  <c r="F291" i="3"/>
  <c r="L72" i="2"/>
  <c r="L137" i="3" s="1"/>
  <c r="F159" i="3"/>
  <c r="S72" i="2"/>
  <c r="L159" i="3" s="1"/>
  <c r="F48" i="3"/>
  <c r="F49" i="3" s="1"/>
  <c r="E14" i="2"/>
  <c r="L27" i="3" s="1"/>
  <c r="F27" i="3"/>
  <c r="F32" i="6"/>
  <c r="F59" i="6" s="1"/>
  <c r="F83" i="6" s="1"/>
  <c r="O93" i="6" s="1"/>
  <c r="D108" i="3"/>
  <c r="C108" i="3" s="1"/>
  <c r="H79" i="6"/>
  <c r="D232" i="3"/>
  <c r="V144" i="3" s="1"/>
  <c r="D84" i="3"/>
  <c r="D239" i="3"/>
  <c r="D237" i="3"/>
  <c r="V149" i="3" s="1"/>
  <c r="AS19" i="9" s="1"/>
  <c r="D208" i="3"/>
  <c r="V120" i="3" s="1"/>
  <c r="C224" i="3"/>
  <c r="U136" i="3" s="1"/>
  <c r="CJ92" i="3" s="1"/>
  <c r="CL94" i="5" s="1"/>
  <c r="D241" i="3"/>
  <c r="C241" i="3" s="1"/>
  <c r="L224" i="3"/>
  <c r="D236" i="3"/>
  <c r="V148" i="3" s="1"/>
  <c r="AS18" i="9" s="1"/>
  <c r="D77" i="3"/>
  <c r="F45" i="6"/>
  <c r="F46" i="6" s="1"/>
  <c r="D85" i="3"/>
  <c r="C85" i="3" s="1"/>
  <c r="C268" i="3"/>
  <c r="L70" i="3"/>
  <c r="AK62" i="5"/>
  <c r="AC54" i="5"/>
  <c r="AC8" i="5" s="1"/>
  <c r="BA142" i="5"/>
  <c r="AK142" i="5" s="1"/>
  <c r="Z44" i="5"/>
  <c r="Z7" i="5" s="1"/>
  <c r="BI49" i="5"/>
  <c r="BI54" i="5" s="1"/>
  <c r="BI8" i="5" s="1"/>
  <c r="CT8" i="5" s="1"/>
  <c r="AF44" i="5"/>
  <c r="AF7" i="5" s="1"/>
  <c r="BM181" i="5"/>
  <c r="BM17" i="5" s="1"/>
  <c r="CX17" i="5" s="1"/>
  <c r="BA94" i="5"/>
  <c r="AD54" i="5"/>
  <c r="AD8" i="5" s="1"/>
  <c r="U40" i="5"/>
  <c r="BI44" i="5"/>
  <c r="AS44" i="5" s="1"/>
  <c r="AS7" i="5" s="1"/>
  <c r="V44" i="5"/>
  <c r="V7" i="5" s="1"/>
  <c r="AF181" i="5"/>
  <c r="AF17" i="5" s="1"/>
  <c r="AB44" i="5"/>
  <c r="AB7" i="5" s="1"/>
  <c r="BJ44" i="5"/>
  <c r="AT44" i="5" s="1"/>
  <c r="AT7" i="5" s="1"/>
  <c r="BA43" i="5"/>
  <c r="BL44" i="5"/>
  <c r="BL7" i="5" s="1"/>
  <c r="CW7" i="5" s="1"/>
  <c r="BF44" i="5"/>
  <c r="AP44" i="5" s="1"/>
  <c r="AP7" i="5" s="1"/>
  <c r="Z54" i="5"/>
  <c r="Z8" i="5" s="1"/>
  <c r="BL177" i="5"/>
  <c r="BA177" i="5" s="1"/>
  <c r="U169" i="5"/>
  <c r="AB54" i="5"/>
  <c r="AB8" i="5" s="1"/>
  <c r="BJ50" i="5"/>
  <c r="BJ54" i="5" s="1"/>
  <c r="BJ8" i="5" s="1"/>
  <c r="CU8" i="5" s="1"/>
  <c r="BC40" i="5"/>
  <c r="BA40" i="5" s="1"/>
  <c r="BH26" i="5"/>
  <c r="BH44" i="5" s="1"/>
  <c r="Z24" i="5"/>
  <c r="U25" i="5"/>
  <c r="U36" i="5"/>
  <c r="AB181" i="5"/>
  <c r="AB17" i="5" s="1"/>
  <c r="U189" i="5"/>
  <c r="U162" i="5"/>
  <c r="U132" i="5"/>
  <c r="U104" i="5"/>
  <c r="U71" i="5"/>
  <c r="U43" i="5"/>
  <c r="BA38" i="5"/>
  <c r="BA71" i="5"/>
  <c r="BA53" i="5"/>
  <c r="BA30" i="5"/>
  <c r="AP24" i="5"/>
  <c r="BF24" i="5" s="1"/>
  <c r="BA34" i="5"/>
  <c r="Y181" i="5"/>
  <c r="Y17" i="5" s="1"/>
  <c r="BF54" i="5"/>
  <c r="BF8" i="5" s="1"/>
  <c r="CQ8" i="5" s="1"/>
  <c r="AC44" i="5"/>
  <c r="AC7" i="5" s="1"/>
  <c r="BA122" i="5"/>
  <c r="U186" i="5"/>
  <c r="U32" i="5"/>
  <c r="X181" i="5"/>
  <c r="X17" i="5" s="1"/>
  <c r="AG181" i="5"/>
  <c r="AG17" i="5" s="1"/>
  <c r="BL181" i="5"/>
  <c r="BL17" i="5" s="1"/>
  <c r="CW17" i="5" s="1"/>
  <c r="BA132" i="5"/>
  <c r="U127" i="5"/>
  <c r="U126" i="5"/>
  <c r="U122" i="5"/>
  <c r="BA59" i="5"/>
  <c r="AA44" i="5"/>
  <c r="AA7" i="5" s="1"/>
  <c r="BB170" i="5"/>
  <c r="BA170" i="5" s="1"/>
  <c r="U170" i="5"/>
  <c r="Y54" i="5"/>
  <c r="Y8" i="5" s="1"/>
  <c r="BE51" i="5"/>
  <c r="BE54" i="5" s="1"/>
  <c r="BE8" i="5" s="1"/>
  <c r="CP8" i="5" s="1"/>
  <c r="BC37" i="5"/>
  <c r="BA37" i="5" s="1"/>
  <c r="U37" i="5"/>
  <c r="BG27" i="5"/>
  <c r="BA27" i="5" s="1"/>
  <c r="AK27" i="5" s="1"/>
  <c r="U27" i="5"/>
  <c r="BK26" i="5"/>
  <c r="BK44" i="5" s="1"/>
  <c r="AE44" i="5"/>
  <c r="AE7" i="5" s="1"/>
  <c r="BE179" i="5"/>
  <c r="BA179" i="5" s="1"/>
  <c r="U179" i="5"/>
  <c r="U156" i="5"/>
  <c r="BD156" i="5"/>
  <c r="BA156" i="5" s="1"/>
  <c r="U131" i="5"/>
  <c r="BB131" i="5"/>
  <c r="BA131" i="5" s="1"/>
  <c r="BB84" i="5"/>
  <c r="BA84" i="5" s="1"/>
  <c r="U84" i="5"/>
  <c r="BB78" i="5"/>
  <c r="BA78" i="5" s="1"/>
  <c r="U78" i="5"/>
  <c r="BG49" i="5"/>
  <c r="BG54" i="5" s="1"/>
  <c r="BG8" i="5" s="1"/>
  <c r="CR8" i="5" s="1"/>
  <c r="AA54" i="5"/>
  <c r="AA8" i="5" s="1"/>
  <c r="BC33" i="5"/>
  <c r="BA33" i="5" s="1"/>
  <c r="U33" i="5"/>
  <c r="BD31" i="5"/>
  <c r="BA31" i="5" s="1"/>
  <c r="U31" i="5"/>
  <c r="BA190" i="5"/>
  <c r="U113" i="5"/>
  <c r="AG44" i="5"/>
  <c r="AG7" i="5" s="1"/>
  <c r="X44" i="5"/>
  <c r="X7" i="5" s="1"/>
  <c r="BA32" i="5"/>
  <c r="BA36" i="5"/>
  <c r="BH181" i="5"/>
  <c r="BH17" i="5" s="1"/>
  <c r="CS17" i="5" s="1"/>
  <c r="BK181" i="5"/>
  <c r="BK17" i="5" s="1"/>
  <c r="CV17" i="5" s="1"/>
  <c r="BA148" i="5"/>
  <c r="AK148" i="5" s="1"/>
  <c r="U148" i="5"/>
  <c r="BA65" i="5"/>
  <c r="BK54" i="5"/>
  <c r="BK8" i="5" s="1"/>
  <c r="CV8" i="5" s="1"/>
  <c r="BA42" i="5"/>
  <c r="U26" i="5"/>
  <c r="AD44" i="5"/>
  <c r="AD7" i="5" s="1"/>
  <c r="U30" i="5"/>
  <c r="U35" i="5"/>
  <c r="U39" i="5"/>
  <c r="U53" i="5"/>
  <c r="U42" i="5"/>
  <c r="U177" i="5"/>
  <c r="BA110" i="5"/>
  <c r="BC104" i="5"/>
  <c r="BA104" i="5" s="1"/>
  <c r="BA103" i="5"/>
  <c r="BA93" i="5"/>
  <c r="U93" i="5"/>
  <c r="BA62" i="5"/>
  <c r="U62" i="5"/>
  <c r="BH54" i="5"/>
  <c r="BH8" i="5" s="1"/>
  <c r="CS8" i="5" s="1"/>
  <c r="U38" i="5"/>
  <c r="BG44" i="5"/>
  <c r="BB194" i="5"/>
  <c r="BA194" i="5" s="1"/>
  <c r="U194" i="5"/>
  <c r="U151" i="5"/>
  <c r="BD151" i="5"/>
  <c r="BA151" i="5" s="1"/>
  <c r="BC50" i="5"/>
  <c r="BC54" i="5" s="1"/>
  <c r="BC8" i="5" s="1"/>
  <c r="CN8" i="5" s="1"/>
  <c r="U50" i="5"/>
  <c r="BC41" i="5"/>
  <c r="BA41" i="5" s="1"/>
  <c r="U41" i="5"/>
  <c r="BB176" i="5"/>
  <c r="V181" i="5"/>
  <c r="V17" i="5" s="1"/>
  <c r="U176" i="5"/>
  <c r="U152" i="5"/>
  <c r="BB152" i="5"/>
  <c r="BA152" i="5" s="1"/>
  <c r="BB51" i="5"/>
  <c r="U51" i="5"/>
  <c r="V54" i="5"/>
  <c r="V8" i="5" s="1"/>
  <c r="BM49" i="5"/>
  <c r="BM54" i="5" s="1"/>
  <c r="BM8" i="5" s="1"/>
  <c r="CX8" i="5" s="1"/>
  <c r="AG54" i="5"/>
  <c r="AG8" i="5" s="1"/>
  <c r="BF180" i="5"/>
  <c r="BF181" i="5" s="1"/>
  <c r="BF17" i="5" s="1"/>
  <c r="CQ17" i="5" s="1"/>
  <c r="Z181" i="5"/>
  <c r="Z17" i="5" s="1"/>
  <c r="U180" i="5"/>
  <c r="BB180" i="5"/>
  <c r="BD72" i="5"/>
  <c r="BA72" i="5" s="1"/>
  <c r="U72" i="5"/>
  <c r="BD52" i="5"/>
  <c r="BA52" i="5" s="1"/>
  <c r="U52" i="5"/>
  <c r="BL50" i="5"/>
  <c r="BL54" i="5" s="1"/>
  <c r="BL8" i="5" s="1"/>
  <c r="CW8" i="5" s="1"/>
  <c r="AF54" i="5"/>
  <c r="AF8" i="5" s="1"/>
  <c r="BD29" i="5"/>
  <c r="BA29" i="5" s="1"/>
  <c r="U29" i="5"/>
  <c r="BC28" i="5"/>
  <c r="BA28" i="5" s="1"/>
  <c r="AK28" i="5" s="1"/>
  <c r="U28" i="5"/>
  <c r="BA126" i="5"/>
  <c r="BE44" i="5"/>
  <c r="BI181" i="5"/>
  <c r="BI17" i="5" s="1"/>
  <c r="CT17" i="5" s="1"/>
  <c r="BA127" i="5"/>
  <c r="U94" i="5"/>
  <c r="U190" i="5"/>
  <c r="U103" i="5"/>
  <c r="BB26" i="5"/>
  <c r="BA35" i="5"/>
  <c r="BA39" i="5"/>
  <c r="BA189" i="5"/>
  <c r="BA186" i="5"/>
  <c r="BJ181" i="5"/>
  <c r="BJ17" i="5" s="1"/>
  <c r="CU17" i="5" s="1"/>
  <c r="BC181" i="5"/>
  <c r="BC17" i="5" s="1"/>
  <c r="CN17" i="5" s="1"/>
  <c r="AE181" i="5"/>
  <c r="AE17" i="5" s="1"/>
  <c r="BD181" i="5"/>
  <c r="BD17" i="5" s="1"/>
  <c r="CO17" i="5" s="1"/>
  <c r="BA116" i="5"/>
  <c r="AK116" i="5" s="1"/>
  <c r="U75" i="5"/>
  <c r="U65" i="5"/>
  <c r="AE54" i="5"/>
  <c r="AE8" i="5" s="1"/>
  <c r="BD54" i="5"/>
  <c r="BD8" i="5" s="1"/>
  <c r="CO8" i="5" s="1"/>
  <c r="U34" i="5"/>
  <c r="BB178" i="5"/>
  <c r="BA178" i="5" s="1"/>
  <c r="U178" i="5"/>
  <c r="U155" i="5"/>
  <c r="BB155" i="5"/>
  <c r="BA155" i="5" s="1"/>
  <c r="W181" i="5"/>
  <c r="W17" i="5" s="1"/>
  <c r="BA166" i="5"/>
  <c r="U166" i="5"/>
  <c r="BA113" i="5"/>
  <c r="AK113" i="5" s="1"/>
  <c r="U193" i="5"/>
  <c r="AD181" i="5"/>
  <c r="AD17" i="5" s="1"/>
  <c r="BB169" i="5"/>
  <c r="BA169" i="5" s="1"/>
  <c r="U142" i="5"/>
  <c r="U110" i="5"/>
  <c r="U49" i="5"/>
  <c r="Y44" i="5"/>
  <c r="Y7" i="5" s="1"/>
  <c r="BM25" i="5"/>
  <c r="BM44" i="5" s="1"/>
  <c r="BG176" i="5"/>
  <c r="BG181" i="5" s="1"/>
  <c r="BG17" i="5" s="1"/>
  <c r="CR17" i="5" s="1"/>
  <c r="AA181" i="5"/>
  <c r="AA17" i="5" s="1"/>
  <c r="BA193" i="5"/>
  <c r="U116" i="5"/>
  <c r="U59" i="5"/>
  <c r="AC181" i="5"/>
  <c r="AC17" i="5" s="1"/>
  <c r="BB162" i="5"/>
  <c r="BA162" i="5" s="1"/>
  <c r="AK162" i="5" s="1"/>
  <c r="BA75" i="5"/>
  <c r="X54" i="5"/>
  <c r="X8" i="5" s="1"/>
  <c r="W54" i="5"/>
  <c r="W8" i="5" s="1"/>
  <c r="W44" i="5"/>
  <c r="W7" i="5" s="1"/>
  <c r="W143" i="5"/>
  <c r="W14" i="5" s="1"/>
  <c r="D63" i="3"/>
  <c r="C63" i="3" s="1"/>
  <c r="E22" i="8"/>
  <c r="E39" i="8" s="1"/>
  <c r="J15" i="12" s="1"/>
  <c r="D186" i="3"/>
  <c r="C186" i="3" s="1"/>
  <c r="D145" i="3"/>
  <c r="C145" i="3" s="1"/>
  <c r="D172" i="3"/>
  <c r="C172" i="3" s="1"/>
  <c r="D103" i="3"/>
  <c r="C103" i="3" s="1"/>
  <c r="D107" i="3"/>
  <c r="C107" i="3" s="1"/>
  <c r="D79" i="3"/>
  <c r="C79" i="3" s="1"/>
  <c r="D87" i="3"/>
  <c r="D81" i="3"/>
  <c r="C81" i="3" s="1"/>
  <c r="D80" i="3"/>
  <c r="C80" i="3" s="1"/>
  <c r="D65" i="3"/>
  <c r="D126" i="3"/>
  <c r="C126" i="3" s="1"/>
  <c r="D149" i="3"/>
  <c r="C149" i="3" s="1"/>
  <c r="D121" i="3"/>
  <c r="C121" i="3" s="1"/>
  <c r="L180" i="3"/>
  <c r="EK61" i="9"/>
  <c r="EJ93" i="9" s="1"/>
  <c r="D165" i="3"/>
  <c r="C165" i="3" s="1"/>
  <c r="D170" i="3"/>
  <c r="C170" i="3" s="1"/>
  <c r="CK68" i="5"/>
  <c r="CL164" i="5" s="1"/>
  <c r="CN170" i="5" s="1"/>
  <c r="D169" i="3"/>
  <c r="C169" i="3" s="1"/>
  <c r="D99" i="3"/>
  <c r="C99" i="3" s="1"/>
  <c r="D78" i="3"/>
  <c r="C78" i="3" s="1"/>
  <c r="D86" i="3"/>
  <c r="C86" i="3" s="1"/>
  <c r="D76" i="3"/>
  <c r="C76" i="3" s="1"/>
  <c r="C70" i="3"/>
  <c r="DK22" i="9"/>
  <c r="CK22" i="5"/>
  <c r="CL162" i="5" s="1"/>
  <c r="CL170" i="5" s="1"/>
  <c r="D174" i="3"/>
  <c r="C174" i="3" s="1"/>
  <c r="D105" i="3"/>
  <c r="C105" i="3" s="1"/>
  <c r="D102" i="3"/>
  <c r="C102" i="3" s="1"/>
  <c r="AW161" i="5"/>
  <c r="BM161" i="5" s="1"/>
  <c r="D100" i="3"/>
  <c r="C100" i="3" s="1"/>
  <c r="AG143" i="5"/>
  <c r="AG14" i="5" s="1"/>
  <c r="D276" i="3"/>
  <c r="C276" i="3" s="1"/>
  <c r="M28" i="4"/>
  <c r="P6" i="6"/>
  <c r="Y5" i="6" s="1"/>
  <c r="AN26" i="6" s="1"/>
  <c r="AC22" i="4"/>
  <c r="D323" i="3"/>
  <c r="C323" i="3" s="1"/>
  <c r="AI6" i="8"/>
  <c r="CK91" i="5"/>
  <c r="CL165" i="5" s="1"/>
  <c r="DC4" i="4" s="1"/>
  <c r="D82" i="3"/>
  <c r="C82" i="3" s="1"/>
  <c r="D75" i="3"/>
  <c r="H32" i="6"/>
  <c r="H59" i="6" s="1"/>
  <c r="H83" i="6" s="1"/>
  <c r="H93" i="6" s="1"/>
  <c r="L158" i="3"/>
  <c r="D166" i="3"/>
  <c r="C166" i="3" s="1"/>
  <c r="D104" i="3"/>
  <c r="C104" i="3" s="1"/>
  <c r="D101" i="3"/>
  <c r="C101" i="3" s="1"/>
  <c r="BI195" i="5"/>
  <c r="BI18" i="5" s="1"/>
  <c r="CT18" i="5" s="1"/>
  <c r="CT41" i="5" s="1"/>
  <c r="D119" i="3"/>
  <c r="C119" i="3" s="1"/>
  <c r="AL175" i="5"/>
  <c r="BB175" i="5" s="1"/>
  <c r="AL181" i="5" s="1"/>
  <c r="AL17" i="5" s="1"/>
  <c r="U165" i="5"/>
  <c r="D229" i="3"/>
  <c r="D238" i="3"/>
  <c r="C238" i="3" s="1"/>
  <c r="C225" i="3"/>
  <c r="U137" i="3" s="1"/>
  <c r="CJ93" i="3" s="1"/>
  <c r="CL95" i="5" s="1"/>
  <c r="W133" i="5"/>
  <c r="W13" i="5" s="1"/>
  <c r="CI89" i="3"/>
  <c r="D194" i="3"/>
  <c r="C194" i="3" s="1"/>
  <c r="D185" i="3"/>
  <c r="D163" i="3"/>
  <c r="CI23" i="3"/>
  <c r="D171" i="3"/>
  <c r="C171" i="3" s="1"/>
  <c r="D168" i="3"/>
  <c r="C168" i="3" s="1"/>
  <c r="C159" i="3"/>
  <c r="C158" i="3"/>
  <c r="D109" i="3"/>
  <c r="D210" i="3"/>
  <c r="C210" i="3" s="1"/>
  <c r="D233" i="3"/>
  <c r="V145" i="3" s="1"/>
  <c r="AS15" i="9" s="1"/>
  <c r="BA15" i="9" s="1"/>
  <c r="CI67" i="3"/>
  <c r="D98" i="3"/>
  <c r="C98" i="3" s="1"/>
  <c r="P171" i="5"/>
  <c r="P172" i="5" s="1"/>
  <c r="C93" i="3"/>
  <c r="C92" i="3"/>
  <c r="D97" i="3"/>
  <c r="X158" i="3"/>
  <c r="X159" i="3" s="1"/>
  <c r="CM115" i="3" s="1"/>
  <c r="CO118" i="5" s="1"/>
  <c r="Y48" i="5"/>
  <c r="C27" i="3"/>
  <c r="D231" i="3"/>
  <c r="V143" i="3" s="1"/>
  <c r="U143" i="3" s="1"/>
  <c r="D235" i="3"/>
  <c r="C235" i="3" s="1"/>
  <c r="D234" i="3"/>
  <c r="V146" i="3" s="1"/>
  <c r="U146" i="3" s="1"/>
  <c r="D278" i="3"/>
  <c r="C278" i="3" s="1"/>
  <c r="Y143" i="5"/>
  <c r="Y14" i="5" s="1"/>
  <c r="D39" i="3"/>
  <c r="C39" i="3" s="1"/>
  <c r="D216" i="3"/>
  <c r="C216" i="3" s="1"/>
  <c r="D164" i="3"/>
  <c r="C164" i="3" s="1"/>
  <c r="D175" i="3"/>
  <c r="D173" i="3"/>
  <c r="C173" i="3" s="1"/>
  <c r="D240" i="3"/>
  <c r="D106" i="3"/>
  <c r="C106" i="3" s="1"/>
  <c r="L92" i="3"/>
  <c r="L174" i="1"/>
  <c r="N129" i="1"/>
  <c r="L153" i="1"/>
  <c r="L145" i="1"/>
  <c r="BB56" i="4"/>
  <c r="D307" i="3"/>
  <c r="D31" i="3"/>
  <c r="AE143" i="5"/>
  <c r="AE14" i="5" s="1"/>
  <c r="AD117" i="5"/>
  <c r="AD12" i="5" s="1"/>
  <c r="AD171" i="5"/>
  <c r="AD16" i="5" s="1"/>
  <c r="E45" i="6"/>
  <c r="E46" i="6" s="1"/>
  <c r="AA171" i="5"/>
  <c r="AA16" i="5" s="1"/>
  <c r="BB143" i="5"/>
  <c r="BB14" i="5" s="1"/>
  <c r="CM14" i="5" s="1"/>
  <c r="AE117" i="5"/>
  <c r="AE12" i="5" s="1"/>
  <c r="L141" i="1"/>
  <c r="E31" i="1"/>
  <c r="L34" i="2"/>
  <c r="L35" i="2" s="1"/>
  <c r="E34" i="2"/>
  <c r="E35" i="2" s="1"/>
  <c r="L49" i="1"/>
  <c r="L50" i="1" s="1"/>
  <c r="E182" i="1"/>
  <c r="E183" i="1" s="1"/>
  <c r="L19" i="7" s="1"/>
  <c r="M17" i="7" s="1"/>
  <c r="AS37" i="9" s="1"/>
  <c r="L92" i="2"/>
  <c r="L93" i="2" s="1"/>
  <c r="Z34" i="2"/>
  <c r="Z35" i="2" s="1"/>
  <c r="S34" i="2"/>
  <c r="S35" i="2" s="1"/>
  <c r="Z83" i="2"/>
  <c r="S141" i="1"/>
  <c r="L150" i="1"/>
  <c r="L151" i="1" s="1"/>
  <c r="R19" i="7" s="1"/>
  <c r="S92" i="2"/>
  <c r="S93" i="2" s="1"/>
  <c r="S40" i="1"/>
  <c r="E121" i="1"/>
  <c r="E20" i="1"/>
  <c r="E81" i="1"/>
  <c r="E82" i="1" s="1"/>
  <c r="I19" i="7" s="1"/>
  <c r="L25" i="2"/>
  <c r="L57" i="2" s="1"/>
  <c r="S25" i="2"/>
  <c r="S57" i="2" s="1"/>
  <c r="Z92" i="2"/>
  <c r="D18" i="12"/>
  <c r="L40" i="1"/>
  <c r="S49" i="1"/>
  <c r="S50" i="1" s="1"/>
  <c r="E132" i="1"/>
  <c r="E92" i="2"/>
  <c r="E93" i="2" s="1"/>
  <c r="EF61" i="9"/>
  <c r="EF93" i="9" s="1"/>
  <c r="DC22" i="9"/>
  <c r="EG29" i="9"/>
  <c r="C122" i="3"/>
  <c r="AA157" i="5"/>
  <c r="AA15" i="5" s="1"/>
  <c r="D120" i="3"/>
  <c r="C120" i="3" s="1"/>
  <c r="AC195" i="5"/>
  <c r="AC18" i="5" s="1"/>
  <c r="C114" i="3"/>
  <c r="C115" i="3"/>
  <c r="AG195" i="5"/>
  <c r="AG18" i="5" s="1"/>
  <c r="D146" i="3"/>
  <c r="C146" i="3" s="1"/>
  <c r="D151" i="3"/>
  <c r="C151" i="3" s="1"/>
  <c r="C180" i="3"/>
  <c r="D284" i="3"/>
  <c r="C284" i="3" s="1"/>
  <c r="AR83" i="5"/>
  <c r="BH83" i="5" s="1"/>
  <c r="C202" i="3"/>
  <c r="U114" i="3" s="1"/>
  <c r="CJ70" i="3" s="1"/>
  <c r="CL71" i="5" s="1"/>
  <c r="D217" i="3"/>
  <c r="D143" i="3"/>
  <c r="C143" i="3" s="1"/>
  <c r="D214" i="3"/>
  <c r="V126" i="3" s="1"/>
  <c r="U126" i="3" s="1"/>
  <c r="AB109" i="5"/>
  <c r="BK114" i="5"/>
  <c r="BK117" i="5" s="1"/>
  <c r="BK12" i="5" s="1"/>
  <c r="CV12" i="5" s="1"/>
  <c r="BJ111" i="5"/>
  <c r="BA111" i="5" s="1"/>
  <c r="M6" i="6"/>
  <c r="V5" i="6" s="1"/>
  <c r="AF2" i="6" s="1"/>
  <c r="I143" i="5"/>
  <c r="I144" i="5" s="1"/>
  <c r="D191" i="3"/>
  <c r="C191" i="3" s="1"/>
  <c r="AO48" i="5"/>
  <c r="BE48" i="5" s="1"/>
  <c r="AO54" i="5" s="1"/>
  <c r="AO8" i="5" s="1"/>
  <c r="D300" i="3"/>
  <c r="C300" i="3" s="1"/>
  <c r="D43" i="3"/>
  <c r="D123" i="3"/>
  <c r="D125" i="3"/>
  <c r="C125" i="3" s="1"/>
  <c r="L114" i="3"/>
  <c r="D124" i="3"/>
  <c r="C124" i="3" s="1"/>
  <c r="D299" i="3"/>
  <c r="C299" i="3" s="1"/>
  <c r="D318" i="3"/>
  <c r="C318" i="3" s="1"/>
  <c r="G31" i="7"/>
  <c r="G36" i="7" s="1"/>
  <c r="AR71" i="7" s="1"/>
  <c r="V195" i="5"/>
  <c r="V18" i="5" s="1"/>
  <c r="C137" i="3"/>
  <c r="D141" i="3"/>
  <c r="BI143" i="5"/>
  <c r="BI14" i="5" s="1"/>
  <c r="CT14" i="5" s="1"/>
  <c r="D189" i="3"/>
  <c r="C189" i="3" s="1"/>
  <c r="D195" i="3"/>
  <c r="C195" i="3" s="1"/>
  <c r="D277" i="3"/>
  <c r="C277" i="3" s="1"/>
  <c r="D275" i="3"/>
  <c r="C275" i="3" s="1"/>
  <c r="D281" i="3"/>
  <c r="C281" i="3" s="1"/>
  <c r="D282" i="3"/>
  <c r="C282" i="3" s="1"/>
  <c r="AB83" i="5"/>
  <c r="D197" i="3"/>
  <c r="AD79" i="5"/>
  <c r="AD10" i="5" s="1"/>
  <c r="L202" i="3"/>
  <c r="D218" i="3"/>
  <c r="C218" i="3" s="1"/>
  <c r="C203" i="3"/>
  <c r="U115" i="3" s="1"/>
  <c r="CJ71" i="3" s="1"/>
  <c r="CL72" i="5" s="1"/>
  <c r="D273" i="3"/>
  <c r="C273" i="3" s="1"/>
  <c r="C269" i="3"/>
  <c r="K117" i="5"/>
  <c r="K118" i="5" s="1"/>
  <c r="D211" i="3"/>
  <c r="C211" i="3" s="1"/>
  <c r="D209" i="3"/>
  <c r="V121" i="3" s="1"/>
  <c r="D215" i="3"/>
  <c r="D148" i="3"/>
  <c r="C148" i="3" s="1"/>
  <c r="D153" i="3"/>
  <c r="D144" i="3"/>
  <c r="C144" i="3" s="1"/>
  <c r="BM79" i="5"/>
  <c r="BM10" i="5" s="1"/>
  <c r="CX10" i="5" s="1"/>
  <c r="AA66" i="5"/>
  <c r="AA9" i="5" s="1"/>
  <c r="BI66" i="5"/>
  <c r="BI9" i="5" s="1"/>
  <c r="CT9" i="5" s="1"/>
  <c r="X66" i="5"/>
  <c r="X9" i="5" s="1"/>
  <c r="J44" i="6"/>
  <c r="I45" i="6"/>
  <c r="I46" i="6" s="1"/>
  <c r="J43" i="6"/>
  <c r="H45" i="6"/>
  <c r="H46" i="6" s="1"/>
  <c r="J42" i="6"/>
  <c r="C45" i="6"/>
  <c r="C46" i="6" s="1"/>
  <c r="AT58" i="5"/>
  <c r="BJ58" i="5" s="1"/>
  <c r="AT66" i="5" s="1"/>
  <c r="AT9" i="5" s="1"/>
  <c r="D196" i="3"/>
  <c r="C196" i="3" s="1"/>
  <c r="L26" i="3"/>
  <c r="D129" i="3"/>
  <c r="C129" i="3" s="1"/>
  <c r="D127" i="3"/>
  <c r="C127" i="3" s="1"/>
  <c r="D274" i="3"/>
  <c r="C274" i="3" s="1"/>
  <c r="D42" i="3"/>
  <c r="C42" i="3" s="1"/>
  <c r="D187" i="3"/>
  <c r="C187" i="3" s="1"/>
  <c r="D192" i="3"/>
  <c r="C192" i="3" s="1"/>
  <c r="D212" i="3"/>
  <c r="D279" i="3"/>
  <c r="C279" i="3" s="1"/>
  <c r="D128" i="3"/>
  <c r="C128" i="3" s="1"/>
  <c r="D219" i="3"/>
  <c r="D213" i="3"/>
  <c r="W117" i="5"/>
  <c r="W12" i="5" s="1"/>
  <c r="BH117" i="5"/>
  <c r="BH12" i="5" s="1"/>
  <c r="CS12" i="5" s="1"/>
  <c r="D32" i="3"/>
  <c r="D131" i="3"/>
  <c r="D130" i="3"/>
  <c r="D301" i="3"/>
  <c r="C312" i="3"/>
  <c r="M30" i="4"/>
  <c r="D142" i="3"/>
  <c r="C142" i="3" s="1"/>
  <c r="L136" i="3"/>
  <c r="D190" i="3"/>
  <c r="C190" i="3" s="1"/>
  <c r="D193" i="3"/>
  <c r="C193" i="3" s="1"/>
  <c r="D188" i="3"/>
  <c r="C188" i="3" s="1"/>
  <c r="D280" i="3"/>
  <c r="C280" i="3" s="1"/>
  <c r="L268" i="3"/>
  <c r="D285" i="3"/>
  <c r="AC117" i="5"/>
  <c r="AC12" i="5" s="1"/>
  <c r="D207" i="3"/>
  <c r="BG150" i="5"/>
  <c r="BG157" i="5" s="1"/>
  <c r="BG15" i="5" s="1"/>
  <c r="CR15" i="5" s="1"/>
  <c r="F181" i="5"/>
  <c r="F182" i="5" s="1"/>
  <c r="D147" i="3"/>
  <c r="C147" i="3" s="1"/>
  <c r="D150" i="3"/>
  <c r="C150" i="3" s="1"/>
  <c r="AD58" i="5"/>
  <c r="C136" i="3"/>
  <c r="D59" i="3"/>
  <c r="C59" i="3" s="1"/>
  <c r="Y171" i="5"/>
  <c r="Y16" i="5" s="1"/>
  <c r="BA165" i="5"/>
  <c r="AK165" i="5" s="1"/>
  <c r="AD66" i="5"/>
  <c r="AD9" i="5" s="1"/>
  <c r="BA51" i="4"/>
  <c r="CW51" i="4" s="1"/>
  <c r="BC51" i="4"/>
  <c r="AY51" i="4"/>
  <c r="AU51" i="4"/>
  <c r="DG51" i="4" s="1"/>
  <c r="BA45" i="4"/>
  <c r="AW45" i="4"/>
  <c r="AY56" i="4"/>
  <c r="BA12" i="4"/>
  <c r="EC12" i="4" s="1"/>
  <c r="AZ46" i="4"/>
  <c r="BD45" i="4"/>
  <c r="AD74" i="4"/>
  <c r="BC171" i="5"/>
  <c r="BC16" i="5" s="1"/>
  <c r="CN16" i="5" s="1"/>
  <c r="AG117" i="5"/>
  <c r="AG12" i="5" s="1"/>
  <c r="X92" i="3"/>
  <c r="X93" i="3" s="1"/>
  <c r="CM49" i="3" s="1"/>
  <c r="CO49" i="5" s="1"/>
  <c r="Y133" i="5"/>
  <c r="Y13" i="5" s="1"/>
  <c r="D304" i="3"/>
  <c r="D296" i="3"/>
  <c r="C296" i="3" s="1"/>
  <c r="D325" i="3"/>
  <c r="C325" i="3" s="1"/>
  <c r="D329" i="3"/>
  <c r="D321" i="3"/>
  <c r="C321" i="3" s="1"/>
  <c r="F269" i="3"/>
  <c r="AF195" i="5"/>
  <c r="AF18" i="5" s="1"/>
  <c r="M50" i="4"/>
  <c r="M27" i="4"/>
  <c r="C230" i="3"/>
  <c r="R6" i="6"/>
  <c r="AA5" i="6" s="1"/>
  <c r="AN49" i="6" s="1"/>
  <c r="BG64" i="5"/>
  <c r="BG66" i="5" s="1"/>
  <c r="BG9" i="5" s="1"/>
  <c r="CR9" i="5" s="1"/>
  <c r="AU109" i="5"/>
  <c r="BK109" i="5" s="1"/>
  <c r="AU117" i="5" s="1"/>
  <c r="AU12" i="5" s="1"/>
  <c r="C291" i="3"/>
  <c r="D254" i="3"/>
  <c r="C246" i="3"/>
  <c r="D258" i="3"/>
  <c r="C258" i="3" s="1"/>
  <c r="BM171" i="5"/>
  <c r="BM16" i="5" s="1"/>
  <c r="CX16" i="5" s="1"/>
  <c r="W171" i="5"/>
  <c r="W16" i="5" s="1"/>
  <c r="BH171" i="5"/>
  <c r="BH16" i="5" s="1"/>
  <c r="CS16" i="5" s="1"/>
  <c r="BH157" i="5"/>
  <c r="BH15" i="5" s="1"/>
  <c r="CS15" i="5" s="1"/>
  <c r="CS84" i="5" s="1"/>
  <c r="BK133" i="5"/>
  <c r="BK13" i="5" s="1"/>
  <c r="CV13" i="5" s="1"/>
  <c r="Y117" i="5"/>
  <c r="Y12" i="5" s="1"/>
  <c r="U100" i="5"/>
  <c r="BM66" i="5"/>
  <c r="BM9" i="5" s="1"/>
  <c r="CX9" i="5" s="1"/>
  <c r="BJ60" i="5"/>
  <c r="BJ66" i="5" s="1"/>
  <c r="BJ9" i="5" s="1"/>
  <c r="CU9" i="5" s="1"/>
  <c r="AE74" i="4"/>
  <c r="AJ74" i="4"/>
  <c r="AL74" i="4"/>
  <c r="BL143" i="5"/>
  <c r="BL14" i="5" s="1"/>
  <c r="CW14" i="5" s="1"/>
  <c r="U138" i="5"/>
  <c r="N54" i="5"/>
  <c r="N55" i="5" s="1"/>
  <c r="D298" i="3"/>
  <c r="D303" i="3"/>
  <c r="C303" i="3" s="1"/>
  <c r="D295" i="3"/>
  <c r="C313" i="3"/>
  <c r="D324" i="3"/>
  <c r="C324" i="3" s="1"/>
  <c r="D317" i="3"/>
  <c r="AB117" i="5"/>
  <c r="AB12" i="5" s="1"/>
  <c r="Z133" i="5"/>
  <c r="Z13" i="5" s="1"/>
  <c r="AE121" i="5"/>
  <c r="J23" i="8"/>
  <c r="D263" i="3"/>
  <c r="C247" i="3"/>
  <c r="L246" i="3"/>
  <c r="D261" i="3"/>
  <c r="C261" i="3" s="1"/>
  <c r="Y157" i="5"/>
  <c r="Y15" i="5" s="1"/>
  <c r="BI117" i="5"/>
  <c r="BI12" i="5" s="1"/>
  <c r="CT12" i="5" s="1"/>
  <c r="CT58" i="5" s="1"/>
  <c r="BF117" i="5"/>
  <c r="BF12" i="5" s="1"/>
  <c r="CQ12" i="5" s="1"/>
  <c r="BB117" i="5"/>
  <c r="BB12" i="5" s="1"/>
  <c r="CM12" i="5" s="1"/>
  <c r="U61" i="5"/>
  <c r="AO74" i="4"/>
  <c r="AI71" i="4"/>
  <c r="AC43" i="4"/>
  <c r="W195" i="5"/>
  <c r="W18" i="5" s="1"/>
  <c r="BH143" i="5"/>
  <c r="BH14" i="5" s="1"/>
  <c r="CS14" i="5" s="1"/>
  <c r="AI74" i="4"/>
  <c r="CI111" i="3"/>
  <c r="D59" i="6"/>
  <c r="D83" i="6" s="1"/>
  <c r="M93" i="6" s="1"/>
  <c r="D305" i="3"/>
  <c r="C305" i="3" s="1"/>
  <c r="C290" i="3"/>
  <c r="D327" i="3"/>
  <c r="C327" i="3" s="1"/>
  <c r="D326" i="3"/>
  <c r="C326" i="3" s="1"/>
  <c r="D320" i="3"/>
  <c r="C320" i="3" s="1"/>
  <c r="V133" i="5"/>
  <c r="V13" i="5" s="1"/>
  <c r="AE195" i="5"/>
  <c r="AE18" i="5" s="1"/>
  <c r="CJ69" i="3"/>
  <c r="CL70" i="5" s="1"/>
  <c r="G59" i="6"/>
  <c r="G83" i="6" s="1"/>
  <c r="BD138" i="5"/>
  <c r="BD143" i="5" s="1"/>
  <c r="BD14" i="5" s="1"/>
  <c r="CO14" i="5" s="1"/>
  <c r="C49" i="3"/>
  <c r="BK143" i="5"/>
  <c r="BK14" i="5" s="1"/>
  <c r="CV14" i="5" s="1"/>
  <c r="D262" i="3"/>
  <c r="C262" i="3" s="1"/>
  <c r="X180" i="3"/>
  <c r="X181" i="3" s="1"/>
  <c r="CM137" i="3" s="1"/>
  <c r="CO141" i="5" s="1"/>
  <c r="BK157" i="5"/>
  <c r="BK15" i="5" s="1"/>
  <c r="CV15" i="5" s="1"/>
  <c r="AA143" i="5"/>
  <c r="AA14" i="5" s="1"/>
  <c r="BJ133" i="5"/>
  <c r="BJ13" i="5" s="1"/>
  <c r="CU13" i="5" s="1"/>
  <c r="X133" i="5"/>
  <c r="X13" i="5" s="1"/>
  <c r="BJ79" i="5"/>
  <c r="BJ10" i="5" s="1"/>
  <c r="CU10" i="5" s="1"/>
  <c r="BG79" i="5"/>
  <c r="BG10" i="5" s="1"/>
  <c r="CR10" i="5" s="1"/>
  <c r="AG66" i="5"/>
  <c r="AG9" i="5" s="1"/>
  <c r="M43" i="4"/>
  <c r="AE71" i="4"/>
  <c r="C255" i="3"/>
  <c r="DW22" i="9"/>
  <c r="EQ93" i="9"/>
  <c r="EQ29" i="9"/>
  <c r="EQ61" i="9"/>
  <c r="AK73" i="4"/>
  <c r="H31" i="7"/>
  <c r="H36" i="7" s="1"/>
  <c r="AY71" i="7" s="1"/>
  <c r="AX3" i="7"/>
  <c r="AH73" i="4"/>
  <c r="AN71" i="4"/>
  <c r="AC26" i="4"/>
  <c r="AM74" i="4"/>
  <c r="BL157" i="5"/>
  <c r="BL15" i="5" s="1"/>
  <c r="CW15" i="5" s="1"/>
  <c r="BM143" i="5"/>
  <c r="BM14" i="5" s="1"/>
  <c r="CX14" i="5" s="1"/>
  <c r="AN74" i="4"/>
  <c r="AH71" i="4"/>
  <c r="AO71" i="4"/>
  <c r="CK114" i="5"/>
  <c r="CL166" i="5" s="1"/>
  <c r="W79" i="5"/>
  <c r="W10" i="5" s="1"/>
  <c r="BX24" i="9"/>
  <c r="AA79" i="5"/>
  <c r="AA10" i="5" s="1"/>
  <c r="U150" i="5"/>
  <c r="U92" i="5"/>
  <c r="BM133" i="5"/>
  <c r="BM13" i="5" s="1"/>
  <c r="CX13" i="5" s="1"/>
  <c r="M8" i="4"/>
  <c r="M22" i="4"/>
  <c r="M44" i="4"/>
  <c r="AC66" i="5"/>
  <c r="AC9" i="5" s="1"/>
  <c r="X79" i="5"/>
  <c r="X10" i="5" s="1"/>
  <c r="AA133" i="5"/>
  <c r="AA13" i="5" s="1"/>
  <c r="AA105" i="5"/>
  <c r="AA11" i="5" s="1"/>
  <c r="AB171" i="5"/>
  <c r="AB16" i="5" s="1"/>
  <c r="BD124" i="5"/>
  <c r="BD133" i="5" s="1"/>
  <c r="BD13" i="5" s="1"/>
  <c r="CO13" i="5" s="1"/>
  <c r="M34" i="4"/>
  <c r="M26" i="4"/>
  <c r="AB66" i="5"/>
  <c r="AB9" i="5" s="1"/>
  <c r="V157" i="5"/>
  <c r="V15" i="5" s="1"/>
  <c r="U98" i="5"/>
  <c r="AH24" i="9"/>
  <c r="M29" i="4"/>
  <c r="CI45" i="3"/>
  <c r="BK195" i="5"/>
  <c r="BK18" i="5" s="1"/>
  <c r="CV18" i="5" s="1"/>
  <c r="D55" i="3"/>
  <c r="C55" i="3" s="1"/>
  <c r="D61" i="3"/>
  <c r="BB100" i="5"/>
  <c r="BA100" i="5" s="1"/>
  <c r="D253" i="3"/>
  <c r="BB61" i="5"/>
  <c r="BA61" i="5" s="1"/>
  <c r="AK61" i="5" s="1"/>
  <c r="D257" i="3"/>
  <c r="D252" i="3"/>
  <c r="C252" i="3" s="1"/>
  <c r="D256" i="3"/>
  <c r="C256" i="3" s="1"/>
  <c r="BE153" i="5"/>
  <c r="BE157" i="5" s="1"/>
  <c r="BE15" i="5" s="1"/>
  <c r="CP15" i="5" s="1"/>
  <c r="AB157" i="5"/>
  <c r="AB15" i="5" s="1"/>
  <c r="BG139" i="5"/>
  <c r="BG143" i="5" s="1"/>
  <c r="BG14" i="5" s="1"/>
  <c r="CR14" i="5" s="1"/>
  <c r="BA85" i="5"/>
  <c r="BA129" i="5"/>
  <c r="AM71" i="4"/>
  <c r="AC29" i="4"/>
  <c r="M65" i="4"/>
  <c r="D45" i="6"/>
  <c r="D46" i="6" s="1"/>
  <c r="W105" i="5"/>
  <c r="W11" i="5" s="1"/>
  <c r="U96" i="5"/>
  <c r="X143" i="5"/>
  <c r="X14" i="5" s="1"/>
  <c r="AF157" i="5"/>
  <c r="AF15" i="5" s="1"/>
  <c r="AG133" i="5"/>
  <c r="AG13" i="5" s="1"/>
  <c r="U188" i="5"/>
  <c r="U139" i="5"/>
  <c r="AE133" i="5"/>
  <c r="AE13" i="5" s="1"/>
  <c r="AF117" i="5"/>
  <c r="AF12" i="5" s="1"/>
  <c r="M16" i="4"/>
  <c r="U112" i="5"/>
  <c r="K22" i="8"/>
  <c r="K39" i="8" s="1"/>
  <c r="P15" i="12" s="1"/>
  <c r="U128" i="5"/>
  <c r="AE157" i="5"/>
  <c r="AE15" i="5" s="1"/>
  <c r="AD133" i="5"/>
  <c r="AD13" i="5" s="1"/>
  <c r="BC188" i="5"/>
  <c r="BC195" i="5" s="1"/>
  <c r="BC18" i="5" s="1"/>
  <c r="CN18" i="5" s="1"/>
  <c r="AG79" i="5"/>
  <c r="AG10" i="5" s="1"/>
  <c r="Z117" i="5"/>
  <c r="Z12" i="5" s="1"/>
  <c r="AA117" i="5"/>
  <c r="AA12" i="5" s="1"/>
  <c r="M38" i="4"/>
  <c r="D31" i="7"/>
  <c r="D36" i="7" s="1"/>
  <c r="Z71" i="7" s="1"/>
  <c r="U99" i="5"/>
  <c r="M60" i="4"/>
  <c r="CK45" i="5"/>
  <c r="CL163" i="5" s="1"/>
  <c r="AU48" i="5"/>
  <c r="BK48" i="5" s="1"/>
  <c r="AU54" i="5" s="1"/>
  <c r="AU8" i="5" s="1"/>
  <c r="D58" i="3"/>
  <c r="C58" i="3" s="1"/>
  <c r="BJ167" i="5"/>
  <c r="BJ171" i="5" s="1"/>
  <c r="BJ16" i="5" s="1"/>
  <c r="CU16" i="5" s="1"/>
  <c r="D53" i="3"/>
  <c r="L48" i="3"/>
  <c r="N6" i="6"/>
  <c r="W5" i="6" s="1"/>
  <c r="AN2" i="6" s="1"/>
  <c r="C48" i="3"/>
  <c r="BA140" i="5"/>
  <c r="U129" i="5"/>
  <c r="BA128" i="5"/>
  <c r="AK128" i="5" s="1"/>
  <c r="U101" i="5"/>
  <c r="BA99" i="5"/>
  <c r="BI79" i="5"/>
  <c r="BI10" i="5" s="1"/>
  <c r="CT10" i="5" s="1"/>
  <c r="Y79" i="5"/>
  <c r="Y10" i="5" s="1"/>
  <c r="AC51" i="4"/>
  <c r="M46" i="4"/>
  <c r="AC39" i="4"/>
  <c r="AC34" i="4"/>
  <c r="AN73" i="4"/>
  <c r="AC8" i="4"/>
  <c r="AC44" i="4"/>
  <c r="AC72" i="4" s="1"/>
  <c r="BG133" i="5"/>
  <c r="BG13" i="5" s="1"/>
  <c r="CR13" i="5" s="1"/>
  <c r="BD66" i="5"/>
  <c r="BD9" i="5" s="1"/>
  <c r="CO9" i="5" s="1"/>
  <c r="AC27" i="4"/>
  <c r="AC65" i="4"/>
  <c r="AJ72" i="4"/>
  <c r="BC79" i="5"/>
  <c r="BC10" i="5" s="1"/>
  <c r="CN10" i="5" s="1"/>
  <c r="M12" i="4"/>
  <c r="U85" i="5"/>
  <c r="V117" i="5"/>
  <c r="V12" i="5" s="1"/>
  <c r="U123" i="5"/>
  <c r="J41" i="6"/>
  <c r="U111" i="5"/>
  <c r="M39" i="4"/>
  <c r="U60" i="5"/>
  <c r="BL195" i="5"/>
  <c r="BL18" i="5" s="1"/>
  <c r="CW18" i="5" s="1"/>
  <c r="M45" i="4"/>
  <c r="M55" i="4"/>
  <c r="AG171" i="5"/>
  <c r="AG16" i="5" s="1"/>
  <c r="AB143" i="5"/>
  <c r="AB14" i="5" s="1"/>
  <c r="U149" i="5"/>
  <c r="M21" i="4"/>
  <c r="AC28" i="4"/>
  <c r="BE171" i="5"/>
  <c r="BE16" i="5" s="1"/>
  <c r="CP16" i="5" s="1"/>
  <c r="D62" i="3"/>
  <c r="C62" i="3" s="1"/>
  <c r="D64" i="3"/>
  <c r="D57" i="3"/>
  <c r="C57" i="3" s="1"/>
  <c r="D54" i="3"/>
  <c r="D60" i="3"/>
  <c r="C60" i="3" s="1"/>
  <c r="D251" i="3"/>
  <c r="D259" i="3"/>
  <c r="D260" i="3"/>
  <c r="CI133" i="3"/>
  <c r="CK137" i="5"/>
  <c r="CL167" i="5" s="1"/>
  <c r="BF192" i="5"/>
  <c r="BA192" i="5" s="1"/>
  <c r="U192" i="5"/>
  <c r="BE188" i="5"/>
  <c r="BE195" i="5" s="1"/>
  <c r="BE18" i="5" s="1"/>
  <c r="CP18" i="5" s="1"/>
  <c r="Y195" i="5"/>
  <c r="Y18" i="5" s="1"/>
  <c r="BD168" i="5"/>
  <c r="BA168" i="5" s="1"/>
  <c r="X171" i="5"/>
  <c r="X16" i="5" s="1"/>
  <c r="U163" i="5"/>
  <c r="BB163" i="5"/>
  <c r="BJ153" i="5"/>
  <c r="BJ157" i="5" s="1"/>
  <c r="BJ15" i="5" s="1"/>
  <c r="CU15" i="5" s="1"/>
  <c r="AD157" i="5"/>
  <c r="AD15" i="5" s="1"/>
  <c r="BJ138" i="5"/>
  <c r="BJ143" i="5" s="1"/>
  <c r="BJ14" i="5" s="1"/>
  <c r="CU14" i="5" s="1"/>
  <c r="AD143" i="5"/>
  <c r="AD14" i="5" s="1"/>
  <c r="BF138" i="5"/>
  <c r="Z143" i="5"/>
  <c r="Z14" i="5" s="1"/>
  <c r="BL124" i="5"/>
  <c r="AF133" i="5"/>
  <c r="AF13" i="5" s="1"/>
  <c r="BB73" i="5"/>
  <c r="BA73" i="5" s="1"/>
  <c r="AK73" i="5" s="1"/>
  <c r="U73" i="5"/>
  <c r="BK64" i="5"/>
  <c r="BK66" i="5" s="1"/>
  <c r="BK9" i="5" s="1"/>
  <c r="CV9" i="5" s="1"/>
  <c r="AE66" i="5"/>
  <c r="AE9" i="5" s="1"/>
  <c r="EM61" i="9"/>
  <c r="EM93" i="9"/>
  <c r="DO22" i="9"/>
  <c r="EM29" i="9"/>
  <c r="D36" i="3"/>
  <c r="C26" i="3"/>
  <c r="D40" i="3"/>
  <c r="D33" i="3"/>
  <c r="D41" i="3"/>
  <c r="C41" i="3" s="1"/>
  <c r="D37" i="3"/>
  <c r="C37" i="3" s="1"/>
  <c r="D34" i="3"/>
  <c r="D35" i="3"/>
  <c r="J195" i="5"/>
  <c r="J196" i="5" s="1"/>
  <c r="AA185" i="5"/>
  <c r="BJ191" i="5"/>
  <c r="BJ195" i="5" s="1"/>
  <c r="BJ18" i="5" s="1"/>
  <c r="CU18" i="5" s="1"/>
  <c r="AD195" i="5"/>
  <c r="AD18" i="5" s="1"/>
  <c r="BI167" i="5"/>
  <c r="BI171" i="5" s="1"/>
  <c r="BI16" i="5" s="1"/>
  <c r="CT16" i="5" s="1"/>
  <c r="AC171" i="5"/>
  <c r="AC16" i="5" s="1"/>
  <c r="BB164" i="5"/>
  <c r="BA164" i="5" s="1"/>
  <c r="U164" i="5"/>
  <c r="BI150" i="5"/>
  <c r="BI157" i="5" s="1"/>
  <c r="BI15" i="5" s="1"/>
  <c r="CT15" i="5" s="1"/>
  <c r="AC157" i="5"/>
  <c r="AC15" i="5" s="1"/>
  <c r="AC133" i="5"/>
  <c r="AC13" i="5" s="1"/>
  <c r="BI123" i="5"/>
  <c r="BA123" i="5" s="1"/>
  <c r="BE64" i="5"/>
  <c r="U64" i="5"/>
  <c r="U125" i="5"/>
  <c r="BE79" i="5"/>
  <c r="BE10" i="5" s="1"/>
  <c r="CP10" i="5" s="1"/>
  <c r="BM117" i="5"/>
  <c r="BM12" i="5" s="1"/>
  <c r="CX12" i="5" s="1"/>
  <c r="CX81" i="5" s="1"/>
  <c r="AC12" i="4"/>
  <c r="AF105" i="5"/>
  <c r="AF11" i="5" s="1"/>
  <c r="U167" i="5"/>
  <c r="AF143" i="5"/>
  <c r="AF14" i="5" s="1"/>
  <c r="U140" i="5"/>
  <c r="AM73" i="4"/>
  <c r="BF66" i="5"/>
  <c r="BF9" i="5" s="1"/>
  <c r="CQ9" i="5" s="1"/>
  <c r="BD101" i="5"/>
  <c r="BA101" i="5" s="1"/>
  <c r="F313" i="3"/>
  <c r="F31" i="7"/>
  <c r="F36" i="7" s="1"/>
  <c r="AL71" i="7" s="1"/>
  <c r="S4" i="7"/>
  <c r="BA102" i="5"/>
  <c r="AH74" i="4"/>
  <c r="AG74" i="4"/>
  <c r="AW175" i="5"/>
  <c r="BM175" i="5" s="1"/>
  <c r="AW181" i="5" s="1"/>
  <c r="AW17" i="5" s="1"/>
  <c r="F71" i="3"/>
  <c r="AT137" i="5"/>
  <c r="BJ137" i="5" s="1"/>
  <c r="AT143" i="5" s="1"/>
  <c r="AT14" i="5" s="1"/>
  <c r="AD137" i="5"/>
  <c r="M143" i="5"/>
  <c r="M144" i="5" s="1"/>
  <c r="BF167" i="5"/>
  <c r="BF171" i="5" s="1"/>
  <c r="BF16" i="5" s="1"/>
  <c r="CQ16" i="5" s="1"/>
  <c r="Z171" i="5"/>
  <c r="Z16" i="5" s="1"/>
  <c r="BL163" i="5"/>
  <c r="BL171" i="5" s="1"/>
  <c r="BL16" i="5" s="1"/>
  <c r="CW16" i="5" s="1"/>
  <c r="AF171" i="5"/>
  <c r="AF16" i="5" s="1"/>
  <c r="U154" i="5"/>
  <c r="BB154" i="5"/>
  <c r="Z157" i="5"/>
  <c r="Z15" i="5" s="1"/>
  <c r="BF150" i="5"/>
  <c r="BF157" i="5" s="1"/>
  <c r="BF15" i="5" s="1"/>
  <c r="CQ15" i="5" s="1"/>
  <c r="BH130" i="5"/>
  <c r="BA130" i="5" s="1"/>
  <c r="AB133" i="5"/>
  <c r="AB13" i="5" s="1"/>
  <c r="BC115" i="5"/>
  <c r="BA115" i="5" s="1"/>
  <c r="U115" i="5"/>
  <c r="BF76" i="5"/>
  <c r="BF79" i="5" s="1"/>
  <c r="BF10" i="5" s="1"/>
  <c r="CQ10" i="5" s="1"/>
  <c r="Z79" i="5"/>
  <c r="Z10" i="5" s="1"/>
  <c r="BL63" i="5"/>
  <c r="BL66" i="5" s="1"/>
  <c r="BL9" i="5" s="1"/>
  <c r="AF66" i="5"/>
  <c r="AF9" i="5" s="1"/>
  <c r="AE66" i="4"/>
  <c r="AC66" i="4" s="1"/>
  <c r="M66" i="4"/>
  <c r="AD56" i="4"/>
  <c r="AC56" i="4" s="1"/>
  <c r="M56" i="4"/>
  <c r="E93" i="6"/>
  <c r="N93" i="6"/>
  <c r="AI73" i="4"/>
  <c r="AK46" i="4"/>
  <c r="AC46" i="4" s="1"/>
  <c r="Z195" i="5"/>
  <c r="Z18" i="5" s="1"/>
  <c r="AF74" i="4"/>
  <c r="U141" i="5"/>
  <c r="V171" i="5"/>
  <c r="V16" i="5" s="1"/>
  <c r="M133" i="5"/>
  <c r="M134" i="5" s="1"/>
  <c r="M31" i="4"/>
  <c r="U102" i="5"/>
  <c r="M51" i="4"/>
  <c r="Z66" i="5"/>
  <c r="Z9" i="5" s="1"/>
  <c r="BM195" i="5"/>
  <c r="BM18" i="5" s="1"/>
  <c r="CX18" i="5" s="1"/>
  <c r="BL117" i="5"/>
  <c r="BL12" i="5" s="1"/>
  <c r="CW12" i="5" s="1"/>
  <c r="CW35" i="5" s="1"/>
  <c r="BG105" i="5"/>
  <c r="BG11" i="5" s="1"/>
  <c r="CR11" i="5" s="1"/>
  <c r="AK71" i="4"/>
  <c r="C283" i="3"/>
  <c r="AG70" i="5"/>
  <c r="D319" i="3"/>
  <c r="D328" i="3"/>
  <c r="L290" i="3"/>
  <c r="D297" i="3"/>
  <c r="C297" i="3" s="1"/>
  <c r="D302" i="3"/>
  <c r="BM153" i="5"/>
  <c r="BM157" i="5" s="1"/>
  <c r="BM15" i="5" s="1"/>
  <c r="CX15" i="5" s="1"/>
  <c r="AG157" i="5"/>
  <c r="AG15" i="5" s="1"/>
  <c r="W157" i="5"/>
  <c r="W15" i="5" s="1"/>
  <c r="BC150" i="5"/>
  <c r="X157" i="5"/>
  <c r="X15" i="5" s="1"/>
  <c r="BD149" i="5"/>
  <c r="BD112" i="5"/>
  <c r="X117" i="5"/>
  <c r="X12" i="5" s="1"/>
  <c r="AL61" i="4"/>
  <c r="AC61" i="4" s="1"/>
  <c r="M61" i="4"/>
  <c r="AE33" i="4"/>
  <c r="AU33" i="4" s="1"/>
  <c r="CQ33" i="4" s="1"/>
  <c r="M33" i="4"/>
  <c r="AF32" i="4"/>
  <c r="AF73" i="4" s="1"/>
  <c r="M32" i="4"/>
  <c r="BE133" i="5"/>
  <c r="BE13" i="5" s="1"/>
  <c r="CP13" i="5" s="1"/>
  <c r="V143" i="5"/>
  <c r="V14" i="5" s="1"/>
  <c r="AC79" i="5"/>
  <c r="AC10" i="5" s="1"/>
  <c r="U124" i="5"/>
  <c r="U168" i="5"/>
  <c r="BC125" i="5"/>
  <c r="U130" i="5"/>
  <c r="BL105" i="5"/>
  <c r="BL11" i="5" s="1"/>
  <c r="CW11" i="5" s="1"/>
  <c r="AL71" i="4"/>
  <c r="W66" i="5"/>
  <c r="W9" i="5" s="1"/>
  <c r="BA98" i="5"/>
  <c r="AC143" i="5"/>
  <c r="AC14" i="5" s="1"/>
  <c r="G45" i="6"/>
  <c r="G46" i="6" s="1"/>
  <c r="BD50" i="4"/>
  <c r="BT50" i="4" s="1"/>
  <c r="BG117" i="5"/>
  <c r="BG12" i="5" s="1"/>
  <c r="CR12" i="5" s="1"/>
  <c r="N32" i="6"/>
  <c r="N59" i="6" s="1"/>
  <c r="AV65" i="4"/>
  <c r="AT45" i="4"/>
  <c r="BC12" i="4"/>
  <c r="DO12" i="4" s="1"/>
  <c r="E96" i="6"/>
  <c r="AZ56" i="4"/>
  <c r="F95" i="6"/>
  <c r="AT31" i="4"/>
  <c r="BA22" i="4"/>
  <c r="AV39" i="4"/>
  <c r="CR39" i="4" s="1"/>
  <c r="BB44" i="4"/>
  <c r="BB72" i="4" s="1"/>
  <c r="AW44" i="4"/>
  <c r="BC31" i="4"/>
  <c r="BD8" i="4"/>
  <c r="G97" i="6"/>
  <c r="C95" i="6"/>
  <c r="BD56" i="4"/>
  <c r="AT34" i="4"/>
  <c r="AY33" i="4"/>
  <c r="AZ32" i="4"/>
  <c r="BP32" i="4" s="1"/>
  <c r="AW32" i="4"/>
  <c r="BE31" i="4"/>
  <c r="AZ31" i="4"/>
  <c r="AT22" i="4"/>
  <c r="BA17" i="4"/>
  <c r="AY17" i="4"/>
  <c r="BB12" i="4"/>
  <c r="AV12" i="4"/>
  <c r="BC8" i="4"/>
  <c r="AZ8" i="4"/>
  <c r="AY8" i="4"/>
  <c r="AX17" i="4"/>
  <c r="AT8" i="4"/>
  <c r="DF8" i="4" s="1"/>
  <c r="BD31" i="4"/>
  <c r="AU17" i="4"/>
  <c r="AZ44" i="4"/>
  <c r="CV44" i="4" s="1"/>
  <c r="CV72" i="4" s="1"/>
  <c r="BE21" i="4"/>
  <c r="CK21" i="4" s="1"/>
  <c r="G95" i="6"/>
  <c r="AU56" i="4"/>
  <c r="AX43" i="4"/>
  <c r="AV55" i="4"/>
  <c r="BB8" i="4"/>
  <c r="BA31" i="4"/>
  <c r="AT26" i="4"/>
  <c r="BJ26" i="4" s="1"/>
  <c r="AX30" i="4"/>
  <c r="G96" i="6"/>
  <c r="AV30" i="4"/>
  <c r="AT46" i="4"/>
  <c r="BC44" i="4"/>
  <c r="BC72" i="4" s="1"/>
  <c r="I96" i="6"/>
  <c r="BD66" i="4"/>
  <c r="AW27" i="4"/>
  <c r="BD28" i="4"/>
  <c r="AZ12" i="4"/>
  <c r="AU16" i="4"/>
  <c r="BD22" i="4"/>
  <c r="AV29" i="4"/>
  <c r="BC33" i="4"/>
  <c r="D95" i="6"/>
  <c r="AX65" i="4"/>
  <c r="BA65" i="4"/>
  <c r="AX46" i="4"/>
  <c r="BE45" i="4"/>
  <c r="BB45" i="4"/>
  <c r="DN45" i="4" s="1"/>
  <c r="AX45" i="4"/>
  <c r="CT45" i="4" s="1"/>
  <c r="AU45" i="4"/>
  <c r="BA43" i="4"/>
  <c r="AT28" i="4"/>
  <c r="BD21" i="4"/>
  <c r="AW51" i="4"/>
  <c r="AW8" i="4"/>
  <c r="AU12" i="4"/>
  <c r="BC34" i="4"/>
  <c r="BD16" i="4"/>
  <c r="CJ16" i="4" s="1"/>
  <c r="BA44" i="4"/>
  <c r="AV56" i="4"/>
  <c r="BL56" i="4" s="1"/>
  <c r="AX50" i="4"/>
  <c r="AY39" i="4"/>
  <c r="CE39" i="4" s="1"/>
  <c r="H95" i="6"/>
  <c r="H99" i="6"/>
  <c r="BC55" i="4"/>
  <c r="BC28" i="4"/>
  <c r="BE61" i="4"/>
  <c r="BC61" i="4"/>
  <c r="AW61" i="4"/>
  <c r="BB33" i="4"/>
  <c r="BE32" i="4"/>
  <c r="BB32" i="4"/>
  <c r="BC16" i="4"/>
  <c r="AW16" i="4"/>
  <c r="BC21" i="4"/>
  <c r="BA50" i="4"/>
  <c r="CW50" i="4" s="1"/>
  <c r="CS24" i="9"/>
  <c r="CT24" i="9" s="1"/>
  <c r="AU65" i="4"/>
  <c r="AZ65" i="4"/>
  <c r="BD65" i="4"/>
  <c r="AU55" i="4"/>
  <c r="BB43" i="4"/>
  <c r="BE38" i="4"/>
  <c r="BC27" i="4"/>
  <c r="AU21" i="4"/>
  <c r="AZ30" i="4"/>
  <c r="BE30" i="4"/>
  <c r="BA32" i="4"/>
  <c r="BB34" i="4"/>
  <c r="BC66" i="4"/>
  <c r="I99" i="6"/>
  <c r="C97" i="6"/>
  <c r="BD32" i="4"/>
  <c r="BD46" i="4"/>
  <c r="D97" i="6"/>
  <c r="AZ28" i="4"/>
  <c r="AY32" i="4"/>
  <c r="E95" i="6"/>
  <c r="BA16" i="4"/>
  <c r="F99" i="6"/>
  <c r="AY43" i="4"/>
  <c r="E97" i="6"/>
  <c r="AV45" i="4"/>
  <c r="CR45" i="4" s="1"/>
  <c r="AY55" i="4"/>
  <c r="BD61" i="4"/>
  <c r="AU22" i="4"/>
  <c r="BD51" i="4"/>
  <c r="AY12" i="4"/>
  <c r="BC32" i="4"/>
  <c r="AW34" i="4"/>
  <c r="AY29" i="4"/>
  <c r="C96" i="6"/>
  <c r="BA39" i="4"/>
  <c r="BD17" i="4"/>
  <c r="BA29" i="4"/>
  <c r="AW30" i="4"/>
  <c r="BB60" i="4"/>
  <c r="AY44" i="4"/>
  <c r="AY72" i="4" s="1"/>
  <c r="AX44" i="4"/>
  <c r="AU26" i="4"/>
  <c r="AU61" i="4"/>
  <c r="DW61" i="4" s="1"/>
  <c r="BA21" i="4"/>
  <c r="CW21" i="4" s="1"/>
  <c r="AT50" i="4"/>
  <c r="AV8" i="4"/>
  <c r="BA60" i="4"/>
  <c r="BE43" i="4"/>
  <c r="CK43" i="4" s="1"/>
  <c r="AV28" i="4"/>
  <c r="DH28" i="4" s="1"/>
  <c r="AX28" i="4"/>
  <c r="AY21" i="4"/>
  <c r="BC22" i="4"/>
  <c r="AV44" i="4"/>
  <c r="AV72" i="4" s="1"/>
  <c r="BD44" i="4"/>
  <c r="BC46" i="4"/>
  <c r="AZ66" i="4"/>
  <c r="AT33" i="4"/>
  <c r="I97" i="6"/>
  <c r="AT51" i="4"/>
  <c r="AZ17" i="4"/>
  <c r="H96" i="6"/>
  <c r="AW28" i="4"/>
  <c r="AV46" i="4"/>
  <c r="AY26" i="4"/>
  <c r="G99" i="6"/>
  <c r="AW26" i="4"/>
  <c r="AX34" i="4"/>
  <c r="AY66" i="4"/>
  <c r="D99" i="6"/>
  <c r="AZ22" i="4"/>
  <c r="BA27" i="4"/>
  <c r="AX61" i="4"/>
  <c r="H97" i="6"/>
  <c r="AY30" i="4"/>
  <c r="AT32" i="4"/>
  <c r="BE28" i="4"/>
  <c r="AY46" i="4"/>
  <c r="AX56" i="4"/>
  <c r="AX32" i="4"/>
  <c r="AT29" i="4"/>
  <c r="AT38" i="4"/>
  <c r="AT55" i="4"/>
  <c r="BC60" i="4"/>
  <c r="AY38" i="4"/>
  <c r="AX12" i="4"/>
  <c r="BN12" i="4" s="1"/>
  <c r="AU28" i="4"/>
  <c r="AX51" i="4"/>
  <c r="AU29" i="4"/>
  <c r="AU46" i="4"/>
  <c r="BE44" i="4"/>
  <c r="CK44" i="4" s="1"/>
  <c r="CK72" i="4" s="1"/>
  <c r="AV16" i="4"/>
  <c r="AV66" i="4"/>
  <c r="BD55" i="4"/>
  <c r="AY22" i="4"/>
  <c r="BO22" i="4" s="1"/>
  <c r="BC39" i="4"/>
  <c r="AY45" i="4"/>
  <c r="AU44" i="4"/>
  <c r="AY28" i="4"/>
  <c r="AW22" i="4"/>
  <c r="BA28" i="4"/>
  <c r="BE46" i="4"/>
  <c r="BC26" i="4"/>
  <c r="AZ34" i="4"/>
  <c r="D96" i="6"/>
  <c r="E99" i="6"/>
  <c r="BA61" i="4"/>
  <c r="C99" i="6"/>
  <c r="AU30" i="4"/>
  <c r="CQ30" i="4" s="1"/>
  <c r="BC45" i="4"/>
  <c r="I95" i="6"/>
  <c r="E58" i="2"/>
  <c r="E37" i="2"/>
  <c r="E29" i="2"/>
  <c r="BB66" i="4"/>
  <c r="BB39" i="4"/>
  <c r="AW39" i="4"/>
  <c r="CC39" i="4" s="1"/>
  <c r="AT39" i="4"/>
  <c r="AW31" i="4"/>
  <c r="BD30" i="4"/>
  <c r="BA30" i="4"/>
  <c r="BC29" i="4"/>
  <c r="BD38" i="4"/>
  <c r="BT38" i="4" s="1"/>
  <c r="BB38" i="4"/>
  <c r="AX38" i="4"/>
  <c r="AV38" i="4"/>
  <c r="AX16" i="4"/>
  <c r="BC50" i="4"/>
  <c r="AV50" i="4"/>
  <c r="BB55" i="4"/>
  <c r="BE26" i="4"/>
  <c r="AT12" i="4"/>
  <c r="BE12" i="4"/>
  <c r="BD34" i="4"/>
  <c r="AW38" i="4"/>
  <c r="BD39" i="4"/>
  <c r="AY65" i="4"/>
  <c r="BA33" i="4"/>
  <c r="EC33" i="4" s="1"/>
  <c r="AT60" i="4"/>
  <c r="AU32" i="4"/>
  <c r="AV27" i="4"/>
  <c r="AT43" i="4"/>
  <c r="AV17" i="4"/>
  <c r="BE39" i="4"/>
  <c r="BB51" i="4"/>
  <c r="AV33" i="4"/>
  <c r="BE65" i="4"/>
  <c r="DA65" i="4" s="1"/>
  <c r="AT61" i="4"/>
  <c r="DF61" i="4" s="1"/>
  <c r="AZ51" i="4"/>
  <c r="AZ61" i="4"/>
  <c r="F96" i="6"/>
  <c r="AX66" i="4"/>
  <c r="AT27" i="4"/>
  <c r="AW33" i="4"/>
  <c r="BM33" i="4" s="1"/>
  <c r="BD33" i="4"/>
  <c r="F97" i="6"/>
  <c r="BA26" i="4"/>
  <c r="AT66" i="4"/>
  <c r="AY61" i="4"/>
  <c r="AV61" i="4"/>
  <c r="BC56" i="4"/>
  <c r="BA56" i="4"/>
  <c r="BE51" i="4"/>
  <c r="AZ39" i="4"/>
  <c r="AX39" i="4"/>
  <c r="BA34" i="4"/>
  <c r="AY34" i="4"/>
  <c r="AV34" i="4"/>
  <c r="DH34" i="4" s="1"/>
  <c r="BB30" i="4"/>
  <c r="BB27" i="4"/>
  <c r="AZ27" i="4"/>
  <c r="BC65" i="4"/>
  <c r="BA8" i="4"/>
  <c r="AU27" i="4"/>
  <c r="AX33" i="4"/>
  <c r="AX22" i="4"/>
  <c r="AV31" i="4"/>
  <c r="BE66" i="4"/>
  <c r="BE56" i="4"/>
  <c r="AV51" i="4"/>
  <c r="AT44" i="4"/>
  <c r="CP44" i="4" s="1"/>
  <c r="CP72" i="4" s="1"/>
  <c r="BE34" i="4"/>
  <c r="AU34" i="4"/>
  <c r="AZ33" i="4"/>
  <c r="AX31" i="4"/>
  <c r="BC30" i="4"/>
  <c r="EE30" i="4" s="1"/>
  <c r="BE17" i="4"/>
  <c r="AT17" i="4"/>
  <c r="BD12" i="4"/>
  <c r="AW12" i="4"/>
  <c r="BB28" i="4"/>
  <c r="CH28" i="4" s="1"/>
  <c r="BD29" i="4"/>
  <c r="AW55" i="4"/>
  <c r="BD60" i="4"/>
  <c r="AW60" i="4"/>
  <c r="AW66" i="4"/>
  <c r="AU50" i="4"/>
  <c r="BA66" i="4"/>
  <c r="AW56" i="4"/>
  <c r="BB46" i="4"/>
  <c r="AW46" i="4"/>
  <c r="BB31" i="4"/>
  <c r="AY31" i="4"/>
  <c r="BB22" i="4"/>
  <c r="DN22" i="4" s="1"/>
  <c r="AV22" i="4"/>
  <c r="BC17" i="4"/>
  <c r="BE8" i="4"/>
  <c r="AX8" i="4"/>
  <c r="AU8" i="4"/>
  <c r="CA8" i="4" s="1"/>
  <c r="BE16" i="4"/>
  <c r="AW29" i="4"/>
  <c r="BA38" i="4"/>
  <c r="BE60" i="4"/>
  <c r="AZ60" i="4"/>
  <c r="AX60" i="4"/>
  <c r="BB16" i="4"/>
  <c r="AZ16" i="4"/>
  <c r="AT21" i="4"/>
  <c r="AZ21" i="4"/>
  <c r="AX21" i="4"/>
  <c r="AV21" i="4"/>
  <c r="AX26" i="4"/>
  <c r="AY27" i="4"/>
  <c r="AZ29" i="4"/>
  <c r="AU38" i="4"/>
  <c r="BD43" i="4"/>
  <c r="AW43" i="4"/>
  <c r="AV43" i="4"/>
  <c r="BB50" i="4"/>
  <c r="AY50" i="4"/>
  <c r="BA55" i="4"/>
  <c r="AU60" i="4"/>
  <c r="AW65" i="4"/>
  <c r="AY16" i="4"/>
  <c r="DK16" i="4" s="1"/>
  <c r="BB21" i="4"/>
  <c r="BD26" i="4"/>
  <c r="BB26" i="4"/>
  <c r="AZ26" i="4"/>
  <c r="AV26" i="4"/>
  <c r="BE27" i="4"/>
  <c r="BD27" i="4"/>
  <c r="AX27" i="4"/>
  <c r="BE29" i="4"/>
  <c r="BB29" i="4"/>
  <c r="AX29" i="4"/>
  <c r="BC38" i="4"/>
  <c r="BC43" i="4"/>
  <c r="AZ43" i="4"/>
  <c r="AU43" i="4"/>
  <c r="BE50" i="4"/>
  <c r="AW50" i="4"/>
  <c r="BE55" i="4"/>
  <c r="AZ55" i="4"/>
  <c r="CV55" i="4" s="1"/>
  <c r="AX55" i="4"/>
  <c r="AY60" i="4"/>
  <c r="CE60" i="4" s="1"/>
  <c r="AT65" i="4"/>
  <c r="BB65" i="4"/>
  <c r="BK97" i="5"/>
  <c r="BK105" i="5" s="1"/>
  <c r="BK11" i="5" s="1"/>
  <c r="CV11" i="5" s="1"/>
  <c r="AE105" i="5"/>
  <c r="AE11" i="5" s="1"/>
  <c r="BH95" i="5"/>
  <c r="BH105" i="5" s="1"/>
  <c r="BH11" i="5" s="1"/>
  <c r="CS11" i="5" s="1"/>
  <c r="U95" i="5"/>
  <c r="AB105" i="5"/>
  <c r="AB11" i="5" s="1"/>
  <c r="AZ45" i="4"/>
  <c r="AJ73" i="4"/>
  <c r="AC45" i="4"/>
  <c r="O22" i="8"/>
  <c r="O39" i="8" s="1"/>
  <c r="T15" i="12" s="1"/>
  <c r="AL6" i="8"/>
  <c r="AA24" i="9"/>
  <c r="AB24" i="9" s="1"/>
  <c r="T24" i="9"/>
  <c r="AW21" i="4"/>
  <c r="AC21" i="4"/>
  <c r="AG71" i="4"/>
  <c r="BG191" i="5"/>
  <c r="BG195" i="5" s="1"/>
  <c r="BG18" i="5" s="1"/>
  <c r="CR18" i="5" s="1"/>
  <c r="U191" i="5"/>
  <c r="AA195" i="5"/>
  <c r="AA18" i="5" s="1"/>
  <c r="BD187" i="5"/>
  <c r="U187" i="5"/>
  <c r="X195" i="5"/>
  <c r="X18" i="5" s="1"/>
  <c r="BJ91" i="5"/>
  <c r="U91" i="5"/>
  <c r="AD105" i="5"/>
  <c r="AD11" i="5" s="1"/>
  <c r="BI90" i="5"/>
  <c r="BI105" i="5" s="1"/>
  <c r="BI11" i="5" s="1"/>
  <c r="CT11" i="5" s="1"/>
  <c r="U90" i="5"/>
  <c r="AC105" i="5"/>
  <c r="AC11" i="5" s="1"/>
  <c r="BM89" i="5"/>
  <c r="BM105" i="5" s="1"/>
  <c r="BM11" i="5" s="1"/>
  <c r="BB76" i="5"/>
  <c r="V79" i="5"/>
  <c r="V10" i="5" s="1"/>
  <c r="U76" i="5"/>
  <c r="BB63" i="5"/>
  <c r="V66" i="5"/>
  <c r="V9" i="5" s="1"/>
  <c r="U63" i="5"/>
  <c r="G22" i="8"/>
  <c r="G39" i="8" s="1"/>
  <c r="L15" i="12" s="1"/>
  <c r="AH6" i="8"/>
  <c r="EO61" i="9"/>
  <c r="EO93" i="9" s="1"/>
  <c r="EO29" i="9"/>
  <c r="DS22" i="9"/>
  <c r="AZ38" i="4"/>
  <c r="AC38" i="4"/>
  <c r="AJ71" i="4"/>
  <c r="BH187" i="5"/>
  <c r="BH195" i="5" s="1"/>
  <c r="BH18" i="5" s="1"/>
  <c r="CS18" i="5" s="1"/>
  <c r="AB195" i="5"/>
  <c r="AB18" i="5" s="1"/>
  <c r="BB97" i="5"/>
  <c r="U97" i="5"/>
  <c r="Z105" i="5"/>
  <c r="Z11" i="5" s="1"/>
  <c r="BF96" i="5"/>
  <c r="BD89" i="5"/>
  <c r="U89" i="5"/>
  <c r="X105" i="5"/>
  <c r="X11" i="5" s="1"/>
  <c r="U88" i="5"/>
  <c r="BB88" i="5"/>
  <c r="BA88" i="5" s="1"/>
  <c r="BE87" i="5"/>
  <c r="BA87" i="5" s="1"/>
  <c r="Y105" i="5"/>
  <c r="Y11" i="5" s="1"/>
  <c r="U87" i="5"/>
  <c r="U86" i="5"/>
  <c r="V105" i="5"/>
  <c r="V11" i="5" s="1"/>
  <c r="BB86" i="5"/>
  <c r="BK77" i="5"/>
  <c r="BA77" i="5" s="1"/>
  <c r="U77" i="5"/>
  <c r="BL76" i="5"/>
  <c r="BL79" i="5" s="1"/>
  <c r="BL10" i="5" s="1"/>
  <c r="CW10" i="5" s="1"/>
  <c r="AF79" i="5"/>
  <c r="AF10" i="5" s="1"/>
  <c r="BK74" i="5"/>
  <c r="BK79" i="5" s="1"/>
  <c r="BK10" i="5" s="1"/>
  <c r="AE79" i="5"/>
  <c r="AE10" i="5" s="1"/>
  <c r="AB79" i="5"/>
  <c r="AB10" i="5" s="1"/>
  <c r="BH74" i="5"/>
  <c r="BH79" i="5" s="1"/>
  <c r="BH10" i="5" s="1"/>
  <c r="CS10" i="5" s="1"/>
  <c r="U74" i="5"/>
  <c r="EH61" i="9"/>
  <c r="EI29" i="9"/>
  <c r="DG22" i="9"/>
  <c r="EH93" i="9"/>
  <c r="AZ50" i="4"/>
  <c r="AC50" i="4"/>
  <c r="AV60" i="4"/>
  <c r="AC60" i="4"/>
  <c r="AT16" i="4"/>
  <c r="AC16" i="4"/>
  <c r="AD71" i="4"/>
  <c r="BE33" i="4"/>
  <c r="AU39" i="4"/>
  <c r="AU31" i="4"/>
  <c r="AC31" i="4"/>
  <c r="BC66" i="5"/>
  <c r="BC9" i="5" s="1"/>
  <c r="AF71" i="4"/>
  <c r="AC55" i="4"/>
  <c r="BA141" i="5"/>
  <c r="AT30" i="4"/>
  <c r="AC30" i="4"/>
  <c r="BC143" i="5"/>
  <c r="BC14" i="5" s="1"/>
  <c r="CN14" i="5" s="1"/>
  <c r="BA92" i="5"/>
  <c r="U142" i="3"/>
  <c r="AS12" i="9"/>
  <c r="I59" i="6"/>
  <c r="I83" i="6" s="1"/>
  <c r="R32" i="6"/>
  <c r="R59" i="6" s="1"/>
  <c r="BH66" i="5"/>
  <c r="BH9" i="5" s="1"/>
  <c r="AF3" i="7"/>
  <c r="E31" i="7"/>
  <c r="BE60" i="5"/>
  <c r="Y66" i="5"/>
  <c r="Y9" i="5" s="1"/>
  <c r="AU185" i="5"/>
  <c r="BK185" i="5" s="1"/>
  <c r="AU195" i="5" s="1"/>
  <c r="AU18" i="5" s="1"/>
  <c r="AE185" i="5"/>
  <c r="N195" i="5"/>
  <c r="N196" i="5" s="1"/>
  <c r="BB17" i="4"/>
  <c r="AG17" i="4"/>
  <c r="M17" i="4"/>
  <c r="X136" i="3"/>
  <c r="F225" i="3"/>
  <c r="BC153" i="5"/>
  <c r="U153" i="5"/>
  <c r="BE114" i="5"/>
  <c r="U114" i="5"/>
  <c r="BE143" i="5"/>
  <c r="BE14" i="5" s="1"/>
  <c r="CP14" i="5" s="1"/>
  <c r="AE171" i="5"/>
  <c r="AE16" i="5" s="1"/>
  <c r="BK163" i="5"/>
  <c r="BG171" i="5"/>
  <c r="BG16" i="5" s="1"/>
  <c r="CR16" i="5" s="1"/>
  <c r="BF133" i="5"/>
  <c r="BF13" i="5" s="1"/>
  <c r="CQ13" i="5" s="1"/>
  <c r="DM61" i="4" l="1"/>
  <c r="CR8" i="4"/>
  <c r="AZ41" i="9"/>
  <c r="AZ31" i="9"/>
  <c r="AZ39" i="9"/>
  <c r="AZ53" i="9"/>
  <c r="AZ33" i="9"/>
  <c r="AZ54" i="9"/>
  <c r="AZ48" i="9"/>
  <c r="AZ38" i="9"/>
  <c r="AZ56" i="9"/>
  <c r="AZ57" i="9"/>
  <c r="AZ37" i="9"/>
  <c r="AZ55" i="9"/>
  <c r="AZ47" i="9"/>
  <c r="AZ49" i="9"/>
  <c r="AZ43" i="9"/>
  <c r="AZ36" i="9"/>
  <c r="AZ32" i="9"/>
  <c r="AZ50" i="9"/>
  <c r="AZ28" i="9"/>
  <c r="AZ35" i="9"/>
  <c r="AZ34" i="9"/>
  <c r="AZ46" i="9"/>
  <c r="AZ40" i="9"/>
  <c r="AZ58" i="9"/>
  <c r="AZ29" i="9"/>
  <c r="AZ44" i="9"/>
  <c r="AZ45" i="9"/>
  <c r="AZ30" i="9"/>
  <c r="AZ25" i="9"/>
  <c r="CP16" i="9"/>
  <c r="CO43" i="3"/>
  <c r="EO66" i="4"/>
  <c r="E80" i="6"/>
  <c r="CB44" i="9"/>
  <c r="CB49" i="9"/>
  <c r="CB56" i="9"/>
  <c r="CB43" i="9"/>
  <c r="CB31" i="9"/>
  <c r="CB55" i="9"/>
  <c r="CB34" i="9"/>
  <c r="CB40" i="9"/>
  <c r="CB35" i="9"/>
  <c r="CB28" i="9"/>
  <c r="CB53" i="9"/>
  <c r="CB41" i="9"/>
  <c r="CB46" i="9"/>
  <c r="CB50" i="9"/>
  <c r="CB47" i="9"/>
  <c r="CB25" i="9"/>
  <c r="CB48" i="9"/>
  <c r="CB39" i="9"/>
  <c r="CB45" i="9"/>
  <c r="CB54" i="9"/>
  <c r="CB57" i="9"/>
  <c r="CB37" i="9"/>
  <c r="CB38" i="9"/>
  <c r="CB58" i="9"/>
  <c r="CB33" i="9"/>
  <c r="CF27" i="4"/>
  <c r="CA28" i="4"/>
  <c r="BN49" i="9"/>
  <c r="X43" i="9"/>
  <c r="X50" i="9"/>
  <c r="X33" i="9"/>
  <c r="X45" i="9"/>
  <c r="X46" i="9"/>
  <c r="X41" i="9"/>
  <c r="X40" i="9"/>
  <c r="X30" i="9"/>
  <c r="X55" i="9"/>
  <c r="X49" i="9"/>
  <c r="X38" i="9"/>
  <c r="X48" i="9"/>
  <c r="X32" i="9"/>
  <c r="X53" i="9"/>
  <c r="X56" i="9"/>
  <c r="X44" i="9"/>
  <c r="X54" i="9"/>
  <c r="X47" i="9"/>
  <c r="X37" i="9"/>
  <c r="X28" i="9"/>
  <c r="X31" i="9"/>
  <c r="X58" i="9"/>
  <c r="X25" i="9"/>
  <c r="X57" i="9"/>
  <c r="X35" i="9"/>
  <c r="DQ8" i="4"/>
  <c r="BN55" i="9"/>
  <c r="CP12" i="9"/>
  <c r="CY9" i="9"/>
  <c r="M7" i="7"/>
  <c r="AS29" i="9" s="1"/>
  <c r="CY8" i="9"/>
  <c r="CP11" i="9"/>
  <c r="I25" i="9"/>
  <c r="J32" i="9" s="1"/>
  <c r="I80" i="6"/>
  <c r="CY26" i="4"/>
  <c r="DJ33" i="4"/>
  <c r="Z121" i="5"/>
  <c r="AP137" i="5"/>
  <c r="BF137" i="5" s="1"/>
  <c r="AP143" i="5" s="1"/>
  <c r="AP14" i="5" s="1"/>
  <c r="CR127" i="5"/>
  <c r="DI46" i="4"/>
  <c r="AP121" i="5"/>
  <c r="BF121" i="5" s="1"/>
  <c r="AP133" i="5" s="1"/>
  <c r="AP13" i="5" s="1"/>
  <c r="CO12" i="3"/>
  <c r="DW46" i="4"/>
  <c r="C77" i="3"/>
  <c r="C84" i="3"/>
  <c r="E145" i="1"/>
  <c r="L24" i="7" s="1"/>
  <c r="E173" i="1"/>
  <c r="CM35" i="5"/>
  <c r="CJ149" i="3"/>
  <c r="AP157" i="5"/>
  <c r="AP15" i="5" s="1"/>
  <c r="J40" i="8"/>
  <c r="I43" i="8" s="1"/>
  <c r="E92" i="1"/>
  <c r="C254" i="3"/>
  <c r="CN23" i="9"/>
  <c r="AU157" i="5"/>
  <c r="AU15" i="5" s="1"/>
  <c r="AQ157" i="5"/>
  <c r="AQ15" i="5" s="1"/>
  <c r="AW157" i="5"/>
  <c r="AW15" i="5" s="1"/>
  <c r="AU79" i="5"/>
  <c r="AU10" i="5" s="1"/>
  <c r="AP79" i="5"/>
  <c r="AP10" i="5" s="1"/>
  <c r="EV31" i="4"/>
  <c r="EG56" i="4"/>
  <c r="EW26" i="4"/>
  <c r="DP44" i="4"/>
  <c r="DP72" i="4" s="1"/>
  <c r="J14" i="9"/>
  <c r="J24" i="9"/>
  <c r="J20" i="9"/>
  <c r="CY17" i="9"/>
  <c r="CN20" i="9"/>
  <c r="H23" i="9"/>
  <c r="CO25" i="9"/>
  <c r="J16" i="9"/>
  <c r="J13" i="9"/>
  <c r="AW171" i="5"/>
  <c r="AW16" i="5" s="1"/>
  <c r="AO171" i="5"/>
  <c r="AO16" i="5" s="1"/>
  <c r="AQ79" i="5"/>
  <c r="AQ10" i="5" s="1"/>
  <c r="AV79" i="5"/>
  <c r="AV10" i="5" s="1"/>
  <c r="AV66" i="5"/>
  <c r="AV9" i="5" s="1"/>
  <c r="AQ66" i="5"/>
  <c r="AQ9" i="5" s="1"/>
  <c r="P117" i="5"/>
  <c r="P118" i="5" s="1"/>
  <c r="CZ29" i="4"/>
  <c r="EU46" i="4"/>
  <c r="CW126" i="5"/>
  <c r="BM50" i="4"/>
  <c r="DY31" i="4"/>
  <c r="EQ28" i="4"/>
  <c r="CU30" i="4"/>
  <c r="CS27" i="4"/>
  <c r="EP43" i="4"/>
  <c r="DI56" i="4"/>
  <c r="DH22" i="4"/>
  <c r="C32" i="3"/>
  <c r="F18" i="7"/>
  <c r="C80" i="6"/>
  <c r="CJ54" i="3"/>
  <c r="AL54" i="5"/>
  <c r="AL8" i="5" s="1"/>
  <c r="N122" i="1"/>
  <c r="S7" i="7" s="1"/>
  <c r="H15" i="11"/>
  <c r="CJ113" i="3"/>
  <c r="CL116" i="5" s="1"/>
  <c r="E94" i="1"/>
  <c r="G94" i="1" s="1"/>
  <c r="I27" i="7" s="1"/>
  <c r="K26" i="7" s="1"/>
  <c r="J7" i="7"/>
  <c r="D8" i="7"/>
  <c r="W121" i="5"/>
  <c r="N44" i="5"/>
  <c r="N45" i="5" s="1"/>
  <c r="AW70" i="5"/>
  <c r="BM70" i="5" s="1"/>
  <c r="AW79" i="5" s="1"/>
  <c r="AW10" i="5" s="1"/>
  <c r="AC48" i="5"/>
  <c r="W175" i="5"/>
  <c r="AD93" i="3"/>
  <c r="CS49" i="3" s="1"/>
  <c r="CU49" i="5" s="1"/>
  <c r="AM109" i="5"/>
  <c r="BC109" i="5" s="1"/>
  <c r="AM117" i="5" s="1"/>
  <c r="AM12" i="5" s="1"/>
  <c r="AS13" i="9"/>
  <c r="AT13" i="9" s="1"/>
  <c r="BB13" i="9" s="1"/>
  <c r="X114" i="3"/>
  <c r="CM70" i="3" s="1"/>
  <c r="CO71" i="5" s="1"/>
  <c r="G171" i="5"/>
  <c r="G172" i="5" s="1"/>
  <c r="C236" i="3"/>
  <c r="E57" i="2"/>
  <c r="C22" i="7" s="1"/>
  <c r="D21" i="7" s="1"/>
  <c r="C38" i="9" s="1"/>
  <c r="K38" i="9" s="1"/>
  <c r="N38" i="9" s="1"/>
  <c r="Z175" i="5"/>
  <c r="N171" i="5"/>
  <c r="N172" i="5" s="1"/>
  <c r="U148" i="3"/>
  <c r="CS93" i="3"/>
  <c r="CU95" i="5" s="1"/>
  <c r="L115" i="2"/>
  <c r="F22" i="7" s="1"/>
  <c r="G21" i="7" s="1"/>
  <c r="Q38" i="9" s="1"/>
  <c r="Y38" i="9" s="1"/>
  <c r="AB38" i="9" s="1"/>
  <c r="CJ145" i="3"/>
  <c r="C79" i="6"/>
  <c r="CX132" i="5"/>
  <c r="CQ100" i="5"/>
  <c r="CR9" i="3"/>
  <c r="CQ14" i="3"/>
  <c r="CQ77" i="5"/>
  <c r="AN83" i="5"/>
  <c r="BD83" i="5" s="1"/>
  <c r="AN105" i="5" s="1"/>
  <c r="AN11" i="5" s="1"/>
  <c r="O117" i="5"/>
  <c r="O118" i="5" s="1"/>
  <c r="J12" i="7"/>
  <c r="AE34" i="9" s="1"/>
  <c r="V122" i="3"/>
  <c r="U122" i="3" s="1"/>
  <c r="AD136" i="3"/>
  <c r="CS92" i="3" s="1"/>
  <c r="CU94" i="5" s="1"/>
  <c r="CJ141" i="3"/>
  <c r="CM104" i="5"/>
  <c r="AP175" i="5"/>
  <c r="BF175" i="5" s="1"/>
  <c r="AP181" i="5" s="1"/>
  <c r="AP17" i="5" s="1"/>
  <c r="AR58" i="5"/>
  <c r="BH58" i="5" s="1"/>
  <c r="AR66" i="5" s="1"/>
  <c r="AR9" i="5" s="1"/>
  <c r="X161" i="5"/>
  <c r="V185" i="5"/>
  <c r="AD48" i="5"/>
  <c r="AS161" i="5"/>
  <c r="BI161" i="5" s="1"/>
  <c r="AS171" i="5" s="1"/>
  <c r="AS16" i="5" s="1"/>
  <c r="BP12" i="4"/>
  <c r="CE17" i="4"/>
  <c r="AD121" i="5"/>
  <c r="E44" i="5"/>
  <c r="E45" i="5" s="1"/>
  <c r="AM121" i="5"/>
  <c r="BC121" i="5" s="1"/>
  <c r="AM133" i="5" s="1"/>
  <c r="AM13" i="5" s="1"/>
  <c r="V175" i="5"/>
  <c r="CS35" i="5"/>
  <c r="AS185" i="5"/>
  <c r="BI185" i="5" s="1"/>
  <c r="AS195" i="5" s="1"/>
  <c r="AS18" i="5" s="1"/>
  <c r="Z70" i="5"/>
  <c r="I79" i="5"/>
  <c r="I80" i="5" s="1"/>
  <c r="AC185" i="5"/>
  <c r="L54" i="5"/>
  <c r="L55" i="5" s="1"/>
  <c r="AU24" i="5"/>
  <c r="BK24" i="5" s="1"/>
  <c r="AN48" i="5"/>
  <c r="BD48" i="5" s="1"/>
  <c r="AN54" i="5" s="1"/>
  <c r="AN8" i="5" s="1"/>
  <c r="CS87" i="3"/>
  <c r="P19" i="5"/>
  <c r="ER61" i="4"/>
  <c r="CZ34" i="4"/>
  <c r="AL24" i="5"/>
  <c r="BB24" i="5" s="1"/>
  <c r="N133" i="5"/>
  <c r="N134" i="5" s="1"/>
  <c r="G54" i="5"/>
  <c r="G55" i="5" s="1"/>
  <c r="E79" i="5"/>
  <c r="E80" i="5" s="1"/>
  <c r="CJ151" i="3"/>
  <c r="Y185" i="5"/>
  <c r="E54" i="5"/>
  <c r="E55" i="5" s="1"/>
  <c r="AF83" i="5"/>
  <c r="CL131" i="3"/>
  <c r="CJ60" i="3"/>
  <c r="D8" i="5"/>
  <c r="EV26" i="4"/>
  <c r="CB46" i="4"/>
  <c r="EV32" i="4"/>
  <c r="EV28" i="4"/>
  <c r="H195" i="5"/>
  <c r="H196" i="5" s="1"/>
  <c r="G79" i="5"/>
  <c r="G80" i="5" s="1"/>
  <c r="CV128" i="5"/>
  <c r="AN70" i="5"/>
  <c r="BD70" i="5" s="1"/>
  <c r="I157" i="5"/>
  <c r="I158" i="5" s="1"/>
  <c r="D137" i="5"/>
  <c r="AK137" i="5" s="1"/>
  <c r="BA137" i="5" s="1"/>
  <c r="AK143" i="5" s="1"/>
  <c r="D15" i="5"/>
  <c r="BL30" i="4"/>
  <c r="AN58" i="5"/>
  <c r="BD58" i="5" s="1"/>
  <c r="AN66" i="5" s="1"/>
  <c r="AN9" i="5" s="1"/>
  <c r="AR121" i="5"/>
  <c r="BH121" i="5" s="1"/>
  <c r="AR133" i="5" s="1"/>
  <c r="AR13" i="5" s="1"/>
  <c r="I54" i="5"/>
  <c r="I55" i="5" s="1"/>
  <c r="CM15" i="3"/>
  <c r="DI60" i="4"/>
  <c r="CR17" i="4"/>
  <c r="BN16" i="4"/>
  <c r="DP22" i="4"/>
  <c r="CR12" i="4"/>
  <c r="K79" i="5"/>
  <c r="K80" i="5" s="1"/>
  <c r="CQ15" i="3"/>
  <c r="CQ13" i="3"/>
  <c r="DZ8" i="4"/>
  <c r="BP34" i="4"/>
  <c r="AS24" i="5"/>
  <c r="BI24" i="5" s="1"/>
  <c r="AL161" i="5"/>
  <c r="BB161" i="5" s="1"/>
  <c r="N181" i="5"/>
  <c r="N182" i="5" s="1"/>
  <c r="X24" i="5"/>
  <c r="AE175" i="5"/>
  <c r="L19" i="5"/>
  <c r="AS19" i="5" s="1"/>
  <c r="CO87" i="3"/>
  <c r="DA29" i="4"/>
  <c r="CD60" i="4"/>
  <c r="EL60" i="4"/>
  <c r="ED66" i="4"/>
  <c r="DJ17" i="4"/>
  <c r="AE83" i="5"/>
  <c r="CV156" i="5"/>
  <c r="G105" i="5"/>
  <c r="G106" i="5" s="1"/>
  <c r="AV24" i="5"/>
  <c r="BL24" i="5" s="1"/>
  <c r="Y83" i="5"/>
  <c r="AA58" i="5"/>
  <c r="CX129" i="5"/>
  <c r="CU128" i="5"/>
  <c r="AF24" i="5"/>
  <c r="CJ45" i="4"/>
  <c r="CS45" i="4"/>
  <c r="AR70" i="5"/>
  <c r="BH70" i="5" s="1"/>
  <c r="AR79" i="5" s="1"/>
  <c r="AR10" i="5" s="1"/>
  <c r="AS83" i="5"/>
  <c r="BI83" i="5" s="1"/>
  <c r="AS105" i="5" s="1"/>
  <c r="AS11" i="5" s="1"/>
  <c r="I171" i="5"/>
  <c r="I172" i="5" s="1"/>
  <c r="AD161" i="5"/>
  <c r="CL65" i="3"/>
  <c r="CU14" i="3"/>
  <c r="CO9" i="3"/>
  <c r="ED27" i="4"/>
  <c r="DF66" i="4"/>
  <c r="DH38" i="4"/>
  <c r="CJ55" i="4"/>
  <c r="DK8" i="4"/>
  <c r="J157" i="5"/>
  <c r="J158" i="5" s="1"/>
  <c r="G157" i="5"/>
  <c r="G158" i="5" s="1"/>
  <c r="H181" i="5"/>
  <c r="H182" i="5" s="1"/>
  <c r="AA175" i="5"/>
  <c r="DL46" i="4"/>
  <c r="AP161" i="5"/>
  <c r="BF161" i="5" s="1"/>
  <c r="AP171" i="5" s="1"/>
  <c r="AP16" i="5" s="1"/>
  <c r="AW24" i="5"/>
  <c r="H79" i="5"/>
  <c r="H80" i="5" s="1"/>
  <c r="K54" i="5"/>
  <c r="K55" i="5" s="1"/>
  <c r="G44" i="5"/>
  <c r="G45" i="5" s="1"/>
  <c r="W109" i="5"/>
  <c r="CJ38" i="3"/>
  <c r="CO65" i="3"/>
  <c r="AV109" i="5"/>
  <c r="BL109" i="5" s="1"/>
  <c r="AV117" i="5" s="1"/>
  <c r="AV12" i="5" s="1"/>
  <c r="AS70" i="5"/>
  <c r="BI70" i="5" s="1"/>
  <c r="AS79" i="5" s="1"/>
  <c r="AS10" i="5" s="1"/>
  <c r="ER43" i="4"/>
  <c r="EB33" i="4"/>
  <c r="EP22" i="4"/>
  <c r="CT34" i="4"/>
  <c r="EQ21" i="4"/>
  <c r="EF56" i="4"/>
  <c r="O133" i="5"/>
  <c r="O134" i="5" s="1"/>
  <c r="E171" i="5"/>
  <c r="E172" i="5" s="1"/>
  <c r="CN102" i="5"/>
  <c r="V137" i="5"/>
  <c r="W58" i="5"/>
  <c r="AV83" i="5"/>
  <c r="BL83" i="5" s="1"/>
  <c r="AV105" i="5" s="1"/>
  <c r="AV11" i="5" s="1"/>
  <c r="AB121" i="5"/>
  <c r="AT70" i="5"/>
  <c r="BJ70" i="5" s="1"/>
  <c r="AT79" i="5" s="1"/>
  <c r="AT10" i="5" s="1"/>
  <c r="AF58" i="5"/>
  <c r="H117" i="5"/>
  <c r="H118" i="5" s="1"/>
  <c r="AQ175" i="5"/>
  <c r="BG175" i="5" s="1"/>
  <c r="AQ181" i="5" s="1"/>
  <c r="AQ17" i="5" s="1"/>
  <c r="AA70" i="5"/>
  <c r="CL43" i="3"/>
  <c r="F19" i="5"/>
  <c r="CL87" i="3"/>
  <c r="CS11" i="3"/>
  <c r="CO18" i="3"/>
  <c r="CU11" i="3"/>
  <c r="CU13" i="3"/>
  <c r="CT15" i="3"/>
  <c r="DX51" i="4"/>
  <c r="EE65" i="4"/>
  <c r="EP50" i="4"/>
  <c r="AG175" i="5"/>
  <c r="H66" i="5"/>
  <c r="H67" i="5" s="1"/>
  <c r="CO16" i="3"/>
  <c r="AS137" i="5"/>
  <c r="BI137" i="5" s="1"/>
  <c r="AS143" i="5" s="1"/>
  <c r="AS14" i="5" s="1"/>
  <c r="DY55" i="4"/>
  <c r="DJ31" i="4"/>
  <c r="CX30" i="4"/>
  <c r="DX50" i="4"/>
  <c r="BO38" i="4"/>
  <c r="CS34" i="4"/>
  <c r="CY66" i="4"/>
  <c r="CV30" i="4"/>
  <c r="CC16" i="4"/>
  <c r="BK45" i="4"/>
  <c r="EB8" i="4"/>
  <c r="DA31" i="4"/>
  <c r="CF56" i="4"/>
  <c r="J66" i="5"/>
  <c r="J67" i="5" s="1"/>
  <c r="CV101" i="5"/>
  <c r="O143" i="5"/>
  <c r="O144" i="5" s="1"/>
  <c r="AN121" i="5"/>
  <c r="BD121" i="5" s="1"/>
  <c r="AN133" i="5" s="1"/>
  <c r="AN13" i="5" s="1"/>
  <c r="AR147" i="5"/>
  <c r="BH147" i="5" s="1"/>
  <c r="AR157" i="5" s="1"/>
  <c r="AR15" i="5" s="1"/>
  <c r="AM70" i="5"/>
  <c r="BC70" i="5" s="1"/>
  <c r="AM79" i="5" s="1"/>
  <c r="AM10" i="5" s="1"/>
  <c r="X121" i="5"/>
  <c r="AM83" i="5"/>
  <c r="BC83" i="5" s="1"/>
  <c r="AM105" i="5" s="1"/>
  <c r="AM11" i="5" s="1"/>
  <c r="AG24" i="5"/>
  <c r="AO137" i="5"/>
  <c r="BE137" i="5" s="1"/>
  <c r="AO143" i="5" s="1"/>
  <c r="AO14" i="5" s="1"/>
  <c r="AG48" i="5"/>
  <c r="AO175" i="5"/>
  <c r="BE175" i="5" s="1"/>
  <c r="AO181" i="5" s="1"/>
  <c r="AO17" i="5" s="1"/>
  <c r="AU161" i="5"/>
  <c r="BK161" i="5" s="1"/>
  <c r="CU10" i="3"/>
  <c r="CL153" i="3"/>
  <c r="CO131" i="3"/>
  <c r="I19" i="5"/>
  <c r="CP151" i="5"/>
  <c r="L44" i="5"/>
  <c r="L45" i="5" s="1"/>
  <c r="AU58" i="5"/>
  <c r="BK58" i="5" s="1"/>
  <c r="AU66" i="5" s="1"/>
  <c r="AU9" i="5" s="1"/>
  <c r="H143" i="5"/>
  <c r="H144" i="5" s="1"/>
  <c r="AO58" i="5"/>
  <c r="BE58" i="5" s="1"/>
  <c r="CX102" i="5"/>
  <c r="CT87" i="3"/>
  <c r="CT20" i="3"/>
  <c r="L79" i="5"/>
  <c r="L80" i="5" s="1"/>
  <c r="AA137" i="5"/>
  <c r="BU16" i="4"/>
  <c r="DO45" i="4"/>
  <c r="EG46" i="4"/>
  <c r="EW45" i="4"/>
  <c r="DG16" i="4"/>
  <c r="EF66" i="4"/>
  <c r="CF31" i="4"/>
  <c r="CX110" i="5"/>
  <c r="AV137" i="5"/>
  <c r="BL137" i="5" s="1"/>
  <c r="AV143" i="5" s="1"/>
  <c r="AV14" i="5" s="1"/>
  <c r="CW133" i="5"/>
  <c r="AW185" i="5"/>
  <c r="BM185" i="5" s="1"/>
  <c r="AW195" i="5" s="1"/>
  <c r="AW18" i="5" s="1"/>
  <c r="CW84" i="5"/>
  <c r="K66" i="5"/>
  <c r="K67" i="5" s="1"/>
  <c r="AW48" i="5"/>
  <c r="BM48" i="5" s="1"/>
  <c r="AW54" i="5" s="1"/>
  <c r="AW8" i="5" s="1"/>
  <c r="DM45" i="4"/>
  <c r="AB48" i="5"/>
  <c r="AM58" i="5"/>
  <c r="BC58" i="5" s="1"/>
  <c r="AM66" i="5" s="1"/>
  <c r="AM9" i="5" s="1"/>
  <c r="F105" i="5"/>
  <c r="F106" i="5" s="1"/>
  <c r="D83" i="5"/>
  <c r="AK83" i="5" s="1"/>
  <c r="BA83" i="5" s="1"/>
  <c r="CP18" i="3"/>
  <c r="CO109" i="3"/>
  <c r="CS15" i="3"/>
  <c r="CQ10" i="3"/>
  <c r="CN19" i="3"/>
  <c r="CK18" i="3"/>
  <c r="CV12" i="3"/>
  <c r="CV9" i="3"/>
  <c r="DY32" i="4"/>
  <c r="AA83" i="5"/>
  <c r="CU39" i="5"/>
  <c r="M79" i="5"/>
  <c r="M80" i="5" s="1"/>
  <c r="J54" i="5"/>
  <c r="J55" i="5" s="1"/>
  <c r="CX55" i="5"/>
  <c r="AQ109" i="5"/>
  <c r="BG109" i="5" s="1"/>
  <c r="AQ117" i="5" s="1"/>
  <c r="AQ12" i="5" s="1"/>
  <c r="AT175" i="5"/>
  <c r="BJ175" i="5" s="1"/>
  <c r="AT181" i="5" s="1"/>
  <c r="AT17" i="5" s="1"/>
  <c r="CM106" i="5"/>
  <c r="M117" i="5"/>
  <c r="M118" i="5" s="1"/>
  <c r="AM24" i="5"/>
  <c r="BC24" i="5" s="1"/>
  <c r="AU137" i="5"/>
  <c r="BK137" i="5" s="1"/>
  <c r="AU143" i="5" s="1"/>
  <c r="AU14" i="5" s="1"/>
  <c r="AG58" i="5"/>
  <c r="Z58" i="5"/>
  <c r="CL11" i="3"/>
  <c r="CR10" i="3"/>
  <c r="D147" i="5"/>
  <c r="AK147" i="5" s="1"/>
  <c r="BA147" i="5" s="1"/>
  <c r="CN109" i="3"/>
  <c r="CV131" i="3"/>
  <c r="EG28" i="4"/>
  <c r="BR33" i="4"/>
  <c r="EO51" i="4"/>
  <c r="CY33" i="4"/>
  <c r="CR65" i="4"/>
  <c r="E66" i="5"/>
  <c r="E67" i="5" s="1"/>
  <c r="K44" i="5"/>
  <c r="K45" i="5" s="1"/>
  <c r="AO70" i="5"/>
  <c r="BE70" i="5" s="1"/>
  <c r="AO79" i="5" s="1"/>
  <c r="AO10" i="5" s="1"/>
  <c r="AL137" i="5"/>
  <c r="BB137" i="5" s="1"/>
  <c r="AL143" i="5" s="1"/>
  <c r="AL14" i="5" s="1"/>
  <c r="AP48" i="5"/>
  <c r="BF48" i="5" s="1"/>
  <c r="AP54" i="5" s="1"/>
  <c r="AP8" i="5" s="1"/>
  <c r="Y121" i="5"/>
  <c r="CJ42" i="3"/>
  <c r="K19" i="5"/>
  <c r="CR131" i="3"/>
  <c r="CT10" i="3"/>
  <c r="CN18" i="3"/>
  <c r="CN16" i="3"/>
  <c r="CO15" i="3"/>
  <c r="CM12" i="3"/>
  <c r="CM10" i="3"/>
  <c r="CS19" i="3"/>
  <c r="CI29" i="4"/>
  <c r="BJ50" i="4"/>
  <c r="CJ51" i="4"/>
  <c r="W24" i="5"/>
  <c r="AE109" i="5"/>
  <c r="AP83" i="5"/>
  <c r="BF83" i="5" s="1"/>
  <c r="AP105" i="5" s="1"/>
  <c r="AP11" i="5" s="1"/>
  <c r="E133" i="5"/>
  <c r="E134" i="5" s="1"/>
  <c r="N143" i="5"/>
  <c r="N144" i="5" s="1"/>
  <c r="D7" i="5"/>
  <c r="CJ142" i="3"/>
  <c r="CJ32" i="3"/>
  <c r="CQ18" i="3"/>
  <c r="CN153" i="3"/>
  <c r="CQ54" i="5"/>
  <c r="CM20" i="3"/>
  <c r="CN11" i="3"/>
  <c r="CQ11" i="3"/>
  <c r="AT147" i="5"/>
  <c r="BJ147" i="5" s="1"/>
  <c r="AT157" i="5" s="1"/>
  <c r="AT15" i="5" s="1"/>
  <c r="J143" i="5"/>
  <c r="J144" i="5" s="1"/>
  <c r="AA24" i="5"/>
  <c r="L143" i="5"/>
  <c r="L144" i="5" s="1"/>
  <c r="DL60" i="4"/>
  <c r="ES66" i="4"/>
  <c r="EG34" i="4"/>
  <c r="ED55" i="4"/>
  <c r="DZ44" i="4"/>
  <c r="DZ72" i="4" s="1"/>
  <c r="EG32" i="4"/>
  <c r="EC44" i="4"/>
  <c r="EC72" i="4" s="1"/>
  <c r="BQ43" i="4"/>
  <c r="EM17" i="4"/>
  <c r="L66" i="5"/>
  <c r="L67" i="5" s="1"/>
  <c r="N105" i="5"/>
  <c r="N106" i="5" s="1"/>
  <c r="CU79" i="5"/>
  <c r="AR24" i="5"/>
  <c r="BH24" i="5" s="1"/>
  <c r="CW83" i="5"/>
  <c r="AQ48" i="5"/>
  <c r="BG48" i="5" s="1"/>
  <c r="AQ54" i="5" s="1"/>
  <c r="AQ8" i="5" s="1"/>
  <c r="AA109" i="5"/>
  <c r="Z83" i="5"/>
  <c r="CK109" i="3"/>
  <c r="AL121" i="5"/>
  <c r="BB121" i="5" s="1"/>
  <c r="AO121" i="5"/>
  <c r="BE121" i="5" s="1"/>
  <c r="AO133" i="5" s="1"/>
  <c r="AO13" i="5" s="1"/>
  <c r="AO109" i="5"/>
  <c r="BE109" i="5" s="1"/>
  <c r="AO117" i="5" s="1"/>
  <c r="AO12" i="5" s="1"/>
  <c r="AT161" i="5"/>
  <c r="BJ161" i="5" s="1"/>
  <c r="AT171" i="5" s="1"/>
  <c r="AT16" i="5" s="1"/>
  <c r="N79" i="5"/>
  <c r="N80" i="5" s="1"/>
  <c r="AV161" i="5"/>
  <c r="BL161" i="5" s="1"/>
  <c r="AV171" i="5" s="1"/>
  <c r="AV16" i="5" s="1"/>
  <c r="J79" i="5"/>
  <c r="J80" i="5" s="1"/>
  <c r="CJ126" i="3"/>
  <c r="CJ120" i="3"/>
  <c r="CJ98" i="3"/>
  <c r="CV13" i="3"/>
  <c r="CN131" i="3"/>
  <c r="CM13" i="3"/>
  <c r="CV109" i="3"/>
  <c r="CM19" i="3"/>
  <c r="CP11" i="3"/>
  <c r="CK11" i="3"/>
  <c r="CU17" i="3"/>
  <c r="CP14" i="3"/>
  <c r="CU20" i="3"/>
  <c r="CN20" i="3"/>
  <c r="CV15" i="3"/>
  <c r="CL15" i="3"/>
  <c r="CL9" i="3"/>
  <c r="CV65" i="3"/>
  <c r="CN87" i="3"/>
  <c r="H19" i="5"/>
  <c r="BY12" i="4"/>
  <c r="CT9" i="3"/>
  <c r="CR15" i="3"/>
  <c r="CU18" i="3"/>
  <c r="DV65" i="4"/>
  <c r="BR60" i="4"/>
  <c r="CY32" i="4"/>
  <c r="DN34" i="4"/>
  <c r="EU8" i="4"/>
  <c r="CY31" i="4"/>
  <c r="AL58" i="5"/>
  <c r="BB58" i="5" s="1"/>
  <c r="CU60" i="5"/>
  <c r="AO147" i="5"/>
  <c r="BE147" i="5" s="1"/>
  <c r="AO157" i="5" s="1"/>
  <c r="AO15" i="5" s="1"/>
  <c r="AW137" i="5"/>
  <c r="BM137" i="5" s="1"/>
  <c r="AW143" i="5" s="1"/>
  <c r="AW14" i="5" s="1"/>
  <c r="EE51" i="4"/>
  <c r="AE70" i="5"/>
  <c r="O66" i="5"/>
  <c r="O67" i="5" s="1"/>
  <c r="F79" i="5"/>
  <c r="F80" i="5" s="1"/>
  <c r="AG83" i="5"/>
  <c r="AG105" i="5" s="1"/>
  <c r="AG11" i="5" s="1"/>
  <c r="U11" i="5" s="1"/>
  <c r="AW83" i="5"/>
  <c r="BM83" i="5" s="1"/>
  <c r="AW105" i="5" s="1"/>
  <c r="AW11" i="5" s="1"/>
  <c r="J133" i="5"/>
  <c r="J134" i="5" s="1"/>
  <c r="AO83" i="5"/>
  <c r="BE83" i="5" s="1"/>
  <c r="AO105" i="5" s="1"/>
  <c r="AO11" i="5" s="1"/>
  <c r="D18" i="5"/>
  <c r="CS18" i="3"/>
  <c r="CU16" i="3"/>
  <c r="CT43" i="3"/>
  <c r="CU153" i="3"/>
  <c r="M19" i="5"/>
  <c r="AT19" i="5" s="1"/>
  <c r="CO14" i="3"/>
  <c r="CN43" i="3"/>
  <c r="CV153" i="3"/>
  <c r="CM17" i="3"/>
  <c r="CV43" i="3"/>
  <c r="AC109" i="5"/>
  <c r="CB26" i="4"/>
  <c r="BO55" i="4"/>
  <c r="DV28" i="4"/>
  <c r="AW109" i="5"/>
  <c r="BM109" i="5" s="1"/>
  <c r="AW117" i="5" s="1"/>
  <c r="AW12" i="5" s="1"/>
  <c r="CX39" i="5"/>
  <c r="AD175" i="5"/>
  <c r="AF48" i="5"/>
  <c r="CX109" i="5"/>
  <c r="CJ57" i="3"/>
  <c r="CL14" i="3"/>
  <c r="CT14" i="3"/>
  <c r="CR13" i="3"/>
  <c r="CS17" i="3"/>
  <c r="CL19" i="3"/>
  <c r="CV16" i="3"/>
  <c r="CS43" i="3"/>
  <c r="CJ63" i="3"/>
  <c r="CP20" i="3"/>
  <c r="AS109" i="5"/>
  <c r="BI109" i="5" s="1"/>
  <c r="AS117" i="5" s="1"/>
  <c r="AS12" i="5" s="1"/>
  <c r="J44" i="5"/>
  <c r="J45" i="5" s="1"/>
  <c r="CH46" i="4"/>
  <c r="CI50" i="4"/>
  <c r="BQ60" i="4"/>
  <c r="DP61" i="4"/>
  <c r="EU55" i="4"/>
  <c r="CI34" i="4"/>
  <c r="BQ65" i="4"/>
  <c r="CB29" i="4"/>
  <c r="DZ30" i="4"/>
  <c r="CB55" i="4"/>
  <c r="AQ83" i="5"/>
  <c r="BG83" i="5" s="1"/>
  <c r="AQ105" i="5" s="1"/>
  <c r="AQ11" i="5" s="1"/>
  <c r="K181" i="5"/>
  <c r="K182" i="5" s="1"/>
  <c r="AR137" i="5"/>
  <c r="BH137" i="5" s="1"/>
  <c r="AR143" i="5" s="1"/>
  <c r="AR14" i="5" s="1"/>
  <c r="AG121" i="5"/>
  <c r="CU61" i="5"/>
  <c r="M44" i="5"/>
  <c r="M45" i="5" s="1"/>
  <c r="AD185" i="5"/>
  <c r="CX36" i="5"/>
  <c r="CV153" i="5"/>
  <c r="CQ150" i="5"/>
  <c r="O195" i="5"/>
  <c r="O196" i="5" s="1"/>
  <c r="N66" i="5"/>
  <c r="N67" i="5" s="1"/>
  <c r="AF185" i="5"/>
  <c r="AN175" i="5"/>
  <c r="BD175" i="5" s="1"/>
  <c r="AN181" i="5" s="1"/>
  <c r="AN17" i="5" s="1"/>
  <c r="AR161" i="5"/>
  <c r="BH161" i="5" s="1"/>
  <c r="AR171" i="5" s="1"/>
  <c r="AR16" i="5" s="1"/>
  <c r="V48" i="5"/>
  <c r="AO24" i="5"/>
  <c r="BE24" i="5" s="1"/>
  <c r="L133" i="5"/>
  <c r="L134" i="5" s="1"/>
  <c r="AL147" i="5"/>
  <c r="BB147" i="5" s="1"/>
  <c r="AL157" i="5" s="1"/>
  <c r="AL15" i="5" s="1"/>
  <c r="AL109" i="5"/>
  <c r="BB109" i="5" s="1"/>
  <c r="AL117" i="5" s="1"/>
  <c r="AL12" i="5" s="1"/>
  <c r="AP58" i="5"/>
  <c r="BF58" i="5" s="1"/>
  <c r="AP66" i="5" s="1"/>
  <c r="AP9" i="5" s="1"/>
  <c r="E117" i="5"/>
  <c r="E118" i="5" s="1"/>
  <c r="AW58" i="5"/>
  <c r="BM58" i="5" s="1"/>
  <c r="AW66" i="5" s="1"/>
  <c r="AW9" i="5" s="1"/>
  <c r="CJ97" i="3"/>
  <c r="CP109" i="3"/>
  <c r="CJ79" i="3"/>
  <c r="D11" i="5"/>
  <c r="CQ87" i="3"/>
  <c r="CJ123" i="3"/>
  <c r="CS12" i="3"/>
  <c r="CS13" i="3"/>
  <c r="CU43" i="3"/>
  <c r="CS131" i="3"/>
  <c r="CS65" i="3"/>
  <c r="CT65" i="3"/>
  <c r="CK20" i="3"/>
  <c r="CO13" i="3"/>
  <c r="CC26" i="4"/>
  <c r="ED32" i="4"/>
  <c r="EM12" i="4"/>
  <c r="AF121" i="5"/>
  <c r="J171" i="5"/>
  <c r="J172" i="5" s="1"/>
  <c r="AC121" i="5"/>
  <c r="AC83" i="5"/>
  <c r="D175" i="5"/>
  <c r="CS16" i="3"/>
  <c r="CS153" i="3"/>
  <c r="CJ85" i="3"/>
  <c r="CM18" i="3"/>
  <c r="CP15" i="3"/>
  <c r="CV11" i="3"/>
  <c r="DN65" i="4"/>
  <c r="BU60" i="4"/>
  <c r="EV12" i="4"/>
  <c r="CB31" i="4"/>
  <c r="CF51" i="4"/>
  <c r="CR27" i="4"/>
  <c r="CD38" i="4"/>
  <c r="CU45" i="4"/>
  <c r="BN46" i="4"/>
  <c r="K143" i="5"/>
  <c r="K144" i="5" s="1"/>
  <c r="CQ153" i="5"/>
  <c r="AN109" i="5"/>
  <c r="BD109" i="5" s="1"/>
  <c r="AN117" i="5" s="1"/>
  <c r="AN12" i="5" s="1"/>
  <c r="M105" i="5"/>
  <c r="M106" i="5" s="1"/>
  <c r="CP154" i="5"/>
  <c r="CR82" i="5"/>
  <c r="AD24" i="5"/>
  <c r="AT185" i="5"/>
  <c r="BJ185" i="5" s="1"/>
  <c r="AT195" i="5" s="1"/>
  <c r="AT18" i="5" s="1"/>
  <c r="CR125" i="5"/>
  <c r="G181" i="5"/>
  <c r="G182" i="5" s="1"/>
  <c r="AW121" i="5"/>
  <c r="BM121" i="5" s="1"/>
  <c r="AW133" i="5" s="1"/>
  <c r="AW13" i="5" s="1"/>
  <c r="Y161" i="5"/>
  <c r="AQ161" i="5"/>
  <c r="BG161" i="5" s="1"/>
  <c r="AQ171" i="5" s="1"/>
  <c r="AQ16" i="5" s="1"/>
  <c r="AL185" i="5"/>
  <c r="BB185" i="5" s="1"/>
  <c r="AL195" i="5" s="1"/>
  <c r="AL18" i="5" s="1"/>
  <c r="I195" i="5"/>
  <c r="I196" i="5" s="1"/>
  <c r="AM185" i="5"/>
  <c r="BC185" i="5" s="1"/>
  <c r="AM195" i="5" s="1"/>
  <c r="AM18" i="5" s="1"/>
  <c r="CW40" i="5"/>
  <c r="AV147" i="5"/>
  <c r="BL147" i="5" s="1"/>
  <c r="AV157" i="5" s="1"/>
  <c r="AV15" i="5" s="1"/>
  <c r="Y24" i="5"/>
  <c r="K171" i="5"/>
  <c r="K172" i="5" s="1"/>
  <c r="CP87" i="3"/>
  <c r="CQ65" i="3"/>
  <c r="CJ101" i="3"/>
  <c r="CK10" i="3"/>
  <c r="CU19" i="3"/>
  <c r="D17" i="5"/>
  <c r="CK15" i="3"/>
  <c r="CO17" i="3"/>
  <c r="CN14" i="3"/>
  <c r="CU12" i="3"/>
  <c r="CS14" i="3"/>
  <c r="CK9" i="3"/>
  <c r="CQ12" i="3"/>
  <c r="CT153" i="3"/>
  <c r="CJ41" i="3"/>
  <c r="CT131" i="3"/>
  <c r="CJ107" i="3"/>
  <c r="CQ109" i="3"/>
  <c r="CU15" i="3"/>
  <c r="CO19" i="3"/>
  <c r="CQ16" i="3"/>
  <c r="CV17" i="3"/>
  <c r="EE38" i="4"/>
  <c r="EE17" i="4"/>
  <c r="DQ66" i="4"/>
  <c r="BZ43" i="4"/>
  <c r="CU29" i="4"/>
  <c r="EG38" i="4"/>
  <c r="CY21" i="4"/>
  <c r="DQ61" i="4"/>
  <c r="CC8" i="4"/>
  <c r="CW31" i="4"/>
  <c r="CA56" i="4"/>
  <c r="ET12" i="4"/>
  <c r="EQ33" i="4"/>
  <c r="BJ45" i="4"/>
  <c r="W161" i="5"/>
  <c r="AT83" i="5"/>
  <c r="BJ83" i="5" s="1"/>
  <c r="AT105" i="5" s="1"/>
  <c r="AT11" i="5" s="1"/>
  <c r="CO124" i="5"/>
  <c r="AS147" i="5"/>
  <c r="BI147" i="5" s="1"/>
  <c r="AS157" i="5" s="1"/>
  <c r="AS15" i="5" s="1"/>
  <c r="CR83" i="5"/>
  <c r="L181" i="5"/>
  <c r="L182" i="5" s="1"/>
  <c r="P157" i="5"/>
  <c r="P158" i="5" s="1"/>
  <c r="CS60" i="5"/>
  <c r="CJ99" i="3"/>
  <c r="AG185" i="5"/>
  <c r="CQ43" i="3"/>
  <c r="CR18" i="3"/>
  <c r="CT17" i="3"/>
  <c r="CJ148" i="3"/>
  <c r="CQ131" i="3"/>
  <c r="CR153" i="3"/>
  <c r="CP12" i="3"/>
  <c r="D14" i="5"/>
  <c r="CT19" i="3"/>
  <c r="CO11" i="3"/>
  <c r="CK14" i="3"/>
  <c r="CS10" i="3"/>
  <c r="CT109" i="3"/>
  <c r="CL10" i="3"/>
  <c r="CN9" i="3"/>
  <c r="CV14" i="3"/>
  <c r="CL18" i="3"/>
  <c r="CM14" i="3"/>
  <c r="CQ9" i="3"/>
  <c r="CL12" i="3"/>
  <c r="CR109" i="3"/>
  <c r="CT11" i="3"/>
  <c r="DQ55" i="4"/>
  <c r="CP12" i="4"/>
  <c r="ET38" i="4"/>
  <c r="BS60" i="4"/>
  <c r="CE43" i="4"/>
  <c r="EM21" i="4"/>
  <c r="EM55" i="4"/>
  <c r="EU16" i="4"/>
  <c r="CC61" i="4"/>
  <c r="CG22" i="4"/>
  <c r="AP185" i="5"/>
  <c r="BF185" i="5" s="1"/>
  <c r="AP195" i="5" s="1"/>
  <c r="AP18" i="5" s="1"/>
  <c r="CP79" i="5"/>
  <c r="Z109" i="5"/>
  <c r="AF161" i="5"/>
  <c r="CV106" i="5"/>
  <c r="X58" i="5"/>
  <c r="H171" i="5"/>
  <c r="H172" i="5" s="1"/>
  <c r="N157" i="5"/>
  <c r="N158" i="5" s="1"/>
  <c r="AV48" i="5"/>
  <c r="BL48" i="5" s="1"/>
  <c r="AV54" i="5" s="1"/>
  <c r="AV8" i="5" s="1"/>
  <c r="D58" i="5"/>
  <c r="D66" i="5" s="1"/>
  <c r="W48" i="5"/>
  <c r="AA121" i="5"/>
  <c r="O79" i="5"/>
  <c r="O80" i="5" s="1"/>
  <c r="F195" i="5"/>
  <c r="F196" i="5" s="1"/>
  <c r="AF70" i="5"/>
  <c r="AT48" i="5"/>
  <c r="BJ48" i="5" s="1"/>
  <c r="AT54" i="5" s="1"/>
  <c r="AT8" i="5" s="1"/>
  <c r="AT109" i="5"/>
  <c r="BJ109" i="5" s="1"/>
  <c r="AT117" i="5" s="1"/>
  <c r="AT12" i="5" s="1"/>
  <c r="F54" i="5"/>
  <c r="F55" i="5" s="1"/>
  <c r="CJ104" i="3"/>
  <c r="CR65" i="3"/>
  <c r="CR17" i="3"/>
  <c r="DM29" i="4"/>
  <c r="BP65" i="4"/>
  <c r="AB175" i="5"/>
  <c r="CJ75" i="3"/>
  <c r="CJ119" i="3"/>
  <c r="CP43" i="3"/>
  <c r="CP65" i="3"/>
  <c r="CR20" i="3"/>
  <c r="CS20" i="3"/>
  <c r="CP10" i="3"/>
  <c r="CO10" i="3"/>
  <c r="CK16" i="3"/>
  <c r="CU87" i="3"/>
  <c r="CU109" i="3"/>
  <c r="CJ61" i="3"/>
  <c r="CJ83" i="3"/>
  <c r="CR43" i="3"/>
  <c r="CL13" i="3"/>
  <c r="D48" i="5"/>
  <c r="CJ76" i="3"/>
  <c r="CJ130" i="3"/>
  <c r="CJ64" i="3"/>
  <c r="CJ108" i="3"/>
  <c r="D185" i="5"/>
  <c r="CJ152" i="3"/>
  <c r="EO29" i="4"/>
  <c r="EO30" i="4"/>
  <c r="CD65" i="4"/>
  <c r="CT148" i="5"/>
  <c r="K195" i="5"/>
  <c r="K196" i="5" s="1"/>
  <c r="CN39" i="5"/>
  <c r="AM147" i="5"/>
  <c r="BC147" i="5" s="1"/>
  <c r="AM157" i="5" s="1"/>
  <c r="AM15" i="5" s="1"/>
  <c r="D24" i="5"/>
  <c r="AK24" i="5" s="1"/>
  <c r="BA24" i="5" s="1"/>
  <c r="CP131" i="3"/>
  <c r="CL20" i="3"/>
  <c r="CT12" i="3"/>
  <c r="CV18" i="3"/>
  <c r="CU131" i="3"/>
  <c r="CJ127" i="3"/>
  <c r="CJ105" i="3"/>
  <c r="CM11" i="3"/>
  <c r="CN13" i="3"/>
  <c r="CL17" i="3"/>
  <c r="CO20" i="3"/>
  <c r="EC38" i="4"/>
  <c r="CB16" i="4"/>
  <c r="DF32" i="4"/>
  <c r="CZ21" i="4"/>
  <c r="AC58" i="5"/>
  <c r="AN185" i="5"/>
  <c r="BD185" i="5" s="1"/>
  <c r="AN195" i="5" s="1"/>
  <c r="AN18" i="5" s="1"/>
  <c r="CJ31" i="3"/>
  <c r="X137" i="5"/>
  <c r="AR185" i="5"/>
  <c r="BH185" i="5" s="1"/>
  <c r="AR195" i="5" s="1"/>
  <c r="AR18" i="5" s="1"/>
  <c r="AG137" i="5"/>
  <c r="CJ53" i="3"/>
  <c r="CP153" i="3"/>
  <c r="CT16" i="3"/>
  <c r="CQ17" i="3"/>
  <c r="CR12" i="3"/>
  <c r="CU65" i="3"/>
  <c r="CJ39" i="3"/>
  <c r="CP13" i="3"/>
  <c r="CQ20" i="3"/>
  <c r="CN17" i="3"/>
  <c r="CN12" i="3"/>
  <c r="CG17" i="4"/>
  <c r="CR11" i="3"/>
  <c r="BQ16" i="4"/>
  <c r="D10" i="5"/>
  <c r="CJ34" i="3"/>
  <c r="CJ56" i="3"/>
  <c r="CJ100" i="3"/>
  <c r="CJ122" i="3"/>
  <c r="CJ78" i="3"/>
  <c r="CJ144" i="3"/>
  <c r="D70" i="5"/>
  <c r="CM65" i="3"/>
  <c r="CM43" i="3"/>
  <c r="CM153" i="3"/>
  <c r="CM87" i="3"/>
  <c r="G19" i="5"/>
  <c r="CM109" i="3"/>
  <c r="CM131" i="3"/>
  <c r="D121" i="5"/>
  <c r="CJ81" i="3"/>
  <c r="CJ37" i="3"/>
  <c r="CJ59" i="3"/>
  <c r="CJ147" i="3"/>
  <c r="CJ125" i="3"/>
  <c r="D13" i="5"/>
  <c r="CJ103" i="3"/>
  <c r="CL16" i="3"/>
  <c r="CN15" i="3"/>
  <c r="CP16" i="3"/>
  <c r="CA50" i="4"/>
  <c r="ES26" i="4"/>
  <c r="DO22" i="4"/>
  <c r="DO28" i="4"/>
  <c r="DN8" i="4"/>
  <c r="EF8" i="4"/>
  <c r="X185" i="5"/>
  <c r="AM161" i="5"/>
  <c r="BC161" i="5" s="1"/>
  <c r="AM171" i="5" s="1"/>
  <c r="AM16" i="5" s="1"/>
  <c r="X109" i="5"/>
  <c r="W137" i="5"/>
  <c r="AV175" i="5"/>
  <c r="BL175" i="5" s="1"/>
  <c r="AV181" i="5" s="1"/>
  <c r="AV17" i="5" s="1"/>
  <c r="DK56" i="4"/>
  <c r="EA51" i="4"/>
  <c r="CX56" i="4"/>
  <c r="AM137" i="5"/>
  <c r="BC137" i="5" s="1"/>
  <c r="AM143" i="5" s="1"/>
  <c r="AM14" i="5" s="1"/>
  <c r="AS175" i="5"/>
  <c r="BI175" i="5" s="1"/>
  <c r="AS181" i="5" s="1"/>
  <c r="AS17" i="5" s="1"/>
  <c r="CP9" i="3"/>
  <c r="CT13" i="3"/>
  <c r="CV20" i="3"/>
  <c r="CV10" i="3"/>
  <c r="CR19" i="3"/>
  <c r="D109" i="5"/>
  <c r="CJ36" i="3"/>
  <c r="D12" i="5"/>
  <c r="CJ124" i="3"/>
  <c r="CJ58" i="3"/>
  <c r="CJ146" i="3"/>
  <c r="CJ80" i="3"/>
  <c r="CJ102" i="3"/>
  <c r="CQ19" i="3"/>
  <c r="CR14" i="3"/>
  <c r="CK17" i="3"/>
  <c r="CP17" i="3"/>
  <c r="AC161" i="5"/>
  <c r="EQ12" i="4"/>
  <c r="DO27" i="4"/>
  <c r="CY61" i="4"/>
  <c r="BJ46" i="4"/>
  <c r="DF22" i="4"/>
  <c r="CS44" i="4"/>
  <c r="CS72" i="4" s="1"/>
  <c r="G143" i="5"/>
  <c r="G144" i="5" s="1"/>
  <c r="AP109" i="5"/>
  <c r="BF109" i="5" s="1"/>
  <c r="AP117" i="5" s="1"/>
  <c r="AP12" i="5" s="1"/>
  <c r="V70" i="5"/>
  <c r="CT106" i="5"/>
  <c r="CK87" i="3"/>
  <c r="AF175" i="5"/>
  <c r="CS9" i="3"/>
  <c r="CV19" i="3"/>
  <c r="CM9" i="3"/>
  <c r="CK19" i="3"/>
  <c r="CN10" i="3"/>
  <c r="CR16" i="3"/>
  <c r="CP19" i="3"/>
  <c r="CU9" i="3"/>
  <c r="CM16" i="3"/>
  <c r="CK12" i="3"/>
  <c r="CJ128" i="3"/>
  <c r="CJ106" i="3"/>
  <c r="CJ62" i="3"/>
  <c r="D161" i="5"/>
  <c r="CJ150" i="3"/>
  <c r="CJ40" i="3"/>
  <c r="D16" i="5"/>
  <c r="CJ84" i="3"/>
  <c r="CT18" i="3"/>
  <c r="CK153" i="3"/>
  <c r="E19" i="5"/>
  <c r="CK43" i="3"/>
  <c r="CK131" i="3"/>
  <c r="C20" i="7"/>
  <c r="V83" i="5"/>
  <c r="R20" i="7"/>
  <c r="U69" i="3"/>
  <c r="AD114" i="3"/>
  <c r="CS70" i="3" s="1"/>
  <c r="CU71" i="5" s="1"/>
  <c r="CT129" i="5"/>
  <c r="C231" i="3"/>
  <c r="N22" i="1"/>
  <c r="N29" i="1" s="1"/>
  <c r="CJ91" i="3"/>
  <c r="CL93" i="5" s="1"/>
  <c r="F20" i="7"/>
  <c r="E72" i="1"/>
  <c r="E22" i="1"/>
  <c r="I15" i="7" s="1"/>
  <c r="E44" i="1"/>
  <c r="I24" i="7" s="1"/>
  <c r="E52" i="1"/>
  <c r="I25" i="7" s="1"/>
  <c r="E32" i="1"/>
  <c r="I16" i="7" s="1"/>
  <c r="E153" i="1"/>
  <c r="L25" i="7" s="1"/>
  <c r="E133" i="1"/>
  <c r="L16" i="7" s="1"/>
  <c r="E123" i="1"/>
  <c r="L15" i="7" s="1"/>
  <c r="U22" i="1"/>
  <c r="U29" i="1" s="1"/>
  <c r="S72" i="1"/>
  <c r="U123" i="1"/>
  <c r="U130" i="1" s="1"/>
  <c r="S173" i="1"/>
  <c r="L27" i="2"/>
  <c r="S27" i="2"/>
  <c r="S143" i="1"/>
  <c r="S42" i="1"/>
  <c r="AR105" i="5"/>
  <c r="AR11" i="5" s="1"/>
  <c r="U83" i="5"/>
  <c r="CJ35" i="3"/>
  <c r="DF31" i="4"/>
  <c r="DF34" i="4"/>
  <c r="AL83" i="5"/>
  <c r="BB83" i="5" s="1"/>
  <c r="CK13" i="3"/>
  <c r="P8" i="7"/>
  <c r="G28" i="11" s="1"/>
  <c r="E27" i="11"/>
  <c r="E31" i="11"/>
  <c r="S11" i="7"/>
  <c r="H31" i="11" s="1"/>
  <c r="G8" i="7"/>
  <c r="D28" i="11" s="1"/>
  <c r="J8" i="7"/>
  <c r="E28" i="11" s="1"/>
  <c r="M12" i="7"/>
  <c r="F32" i="11" s="1"/>
  <c r="G11" i="7"/>
  <c r="Q33" i="9" s="1"/>
  <c r="Y33" i="9" s="1"/>
  <c r="AB33" i="9" s="1"/>
  <c r="M8" i="7"/>
  <c r="AS30" i="9" s="1"/>
  <c r="P11" i="7"/>
  <c r="BG33" i="9" s="1"/>
  <c r="BO33" i="9" s="1"/>
  <c r="BR33" i="9" s="1"/>
  <c r="S12" i="7"/>
  <c r="BU34" i="9" s="1"/>
  <c r="P12" i="7"/>
  <c r="BG34" i="9" s="1"/>
  <c r="F29" i="11"/>
  <c r="P7" i="7"/>
  <c r="BG29" i="9" s="1"/>
  <c r="O20" i="7"/>
  <c r="AS33" i="9"/>
  <c r="BA33" i="9" s="1"/>
  <c r="BD33" i="9" s="1"/>
  <c r="D11" i="7"/>
  <c r="J17" i="9"/>
  <c r="J23" i="9"/>
  <c r="C31" i="3"/>
  <c r="E51" i="2"/>
  <c r="G51" i="2" s="1"/>
  <c r="AD181" i="3"/>
  <c r="CS137" i="3" s="1"/>
  <c r="CU141" i="5" s="1"/>
  <c r="F80" i="6"/>
  <c r="J72" i="6"/>
  <c r="J73" i="6" s="1"/>
  <c r="D80" i="6"/>
  <c r="G80" i="6"/>
  <c r="H80" i="6"/>
  <c r="N123" i="1"/>
  <c r="N130" i="1" s="1"/>
  <c r="O19" i="7"/>
  <c r="AE62" i="9"/>
  <c r="AO62" i="9" s="1"/>
  <c r="AP62" i="9" s="1"/>
  <c r="C207" i="3"/>
  <c r="V141" i="3"/>
  <c r="AS11" i="9" s="1"/>
  <c r="E195" i="1"/>
  <c r="G195" i="1" s="1"/>
  <c r="L27" i="7" s="1"/>
  <c r="N26" i="7" s="1"/>
  <c r="L23" i="8"/>
  <c r="K26" i="8" s="1"/>
  <c r="AD71" i="3"/>
  <c r="CS27" i="3" s="1"/>
  <c r="CU26" i="5" s="1"/>
  <c r="C317" i="3"/>
  <c r="S167" i="1"/>
  <c r="U167" i="1" s="1"/>
  <c r="C329" i="3"/>
  <c r="S165" i="1"/>
  <c r="S166" i="1" s="1"/>
  <c r="C285" i="3"/>
  <c r="S64" i="1"/>
  <c r="S65" i="1" s="1"/>
  <c r="S66" i="1"/>
  <c r="U66" i="1" s="1"/>
  <c r="C153" i="3"/>
  <c r="L107" i="2"/>
  <c r="L108" i="2" s="1"/>
  <c r="C141" i="3"/>
  <c r="L109" i="2"/>
  <c r="N109" i="2" s="1"/>
  <c r="C185" i="3"/>
  <c r="Z109" i="2"/>
  <c r="AB109" i="2" s="1"/>
  <c r="C197" i="3"/>
  <c r="Z107" i="2"/>
  <c r="Z108" i="2" s="1"/>
  <c r="C175" i="3"/>
  <c r="S107" i="2"/>
  <c r="S108" i="2" s="1"/>
  <c r="C163" i="3"/>
  <c r="S109" i="2"/>
  <c r="U109" i="2" s="1"/>
  <c r="C97" i="3"/>
  <c r="Z51" i="2"/>
  <c r="AB51" i="2" s="1"/>
  <c r="C109" i="3"/>
  <c r="Z49" i="2"/>
  <c r="Z50" i="2" s="1"/>
  <c r="C87" i="3"/>
  <c r="S49" i="2"/>
  <c r="S50" i="2" s="1"/>
  <c r="C75" i="3"/>
  <c r="S51" i="2"/>
  <c r="U51" i="2" s="1"/>
  <c r="X70" i="3"/>
  <c r="CM26" i="3" s="1"/>
  <c r="CO25" i="5" s="1"/>
  <c r="C33" i="3"/>
  <c r="C53" i="3"/>
  <c r="L51" i="2"/>
  <c r="N51" i="2" s="1"/>
  <c r="C65" i="3"/>
  <c r="L49" i="2"/>
  <c r="L50" i="2" s="1"/>
  <c r="AE18" i="9"/>
  <c r="AM18" i="9" s="1"/>
  <c r="O32" i="6"/>
  <c r="O59" i="6" s="1"/>
  <c r="CO170" i="5"/>
  <c r="V150" i="3"/>
  <c r="AS20" i="9" s="1"/>
  <c r="F93" i="6"/>
  <c r="L42" i="1"/>
  <c r="L72" i="1"/>
  <c r="C19" i="7"/>
  <c r="C239" i="3"/>
  <c r="V151" i="3"/>
  <c r="C232" i="3"/>
  <c r="CW58" i="5"/>
  <c r="U145" i="3"/>
  <c r="V153" i="3"/>
  <c r="AS23" i="9" s="1"/>
  <c r="Q93" i="6"/>
  <c r="CM4" i="4"/>
  <c r="Q32" i="6"/>
  <c r="Q59" i="6" s="1"/>
  <c r="CM136" i="3"/>
  <c r="CO140" i="5" s="1"/>
  <c r="CJ121" i="3"/>
  <c r="C263" i="3"/>
  <c r="L64" i="1"/>
  <c r="N40" i="8"/>
  <c r="M43" i="8" s="1"/>
  <c r="C251" i="3"/>
  <c r="L66" i="1"/>
  <c r="N66" i="1" s="1"/>
  <c r="U149" i="3"/>
  <c r="C208" i="3"/>
  <c r="C237" i="3"/>
  <c r="V175" i="3"/>
  <c r="U175" i="3" s="1"/>
  <c r="V147" i="3"/>
  <c r="U147" i="3" s="1"/>
  <c r="CS129" i="5"/>
  <c r="CP148" i="5"/>
  <c r="CV60" i="5"/>
  <c r="CS106" i="5"/>
  <c r="CU36" i="5"/>
  <c r="CV83" i="5"/>
  <c r="CS37" i="5"/>
  <c r="BG4" i="4"/>
  <c r="BE181" i="5"/>
  <c r="BE17" i="5" s="1"/>
  <c r="CP17" i="5" s="1"/>
  <c r="CP63" i="5" s="1"/>
  <c r="BC44" i="5"/>
  <c r="BC7" i="5" s="1"/>
  <c r="CN7" i="5" s="1"/>
  <c r="CN30" i="5" s="1"/>
  <c r="CN33" i="5"/>
  <c r="CW132" i="5"/>
  <c r="U7" i="5"/>
  <c r="CW86" i="5"/>
  <c r="BD79" i="5"/>
  <c r="BD10" i="5" s="1"/>
  <c r="CO10" i="5" s="1"/>
  <c r="CO102" i="5" s="1"/>
  <c r="CP39" i="5"/>
  <c r="CX56" i="5"/>
  <c r="CQ84" i="5"/>
  <c r="CW34" i="5"/>
  <c r="CX155" i="5"/>
  <c r="AV44" i="5"/>
  <c r="AV7" i="5" s="1"/>
  <c r="AR44" i="5"/>
  <c r="AR7" i="5" s="1"/>
  <c r="BH7" i="5"/>
  <c r="CS7" i="5" s="1"/>
  <c r="CS53" i="5" s="1"/>
  <c r="CN148" i="5"/>
  <c r="CT37" i="5"/>
  <c r="CR81" i="5"/>
  <c r="CT83" i="5"/>
  <c r="CN154" i="5"/>
  <c r="CN125" i="5"/>
  <c r="CX108" i="5"/>
  <c r="BA50" i="5"/>
  <c r="CX63" i="5"/>
  <c r="BI7" i="5"/>
  <c r="CT7" i="5" s="1"/>
  <c r="CT53" i="5" s="1"/>
  <c r="CQ31" i="5"/>
  <c r="CX127" i="5"/>
  <c r="CX86" i="5"/>
  <c r="CX40" i="5"/>
  <c r="CQ123" i="5"/>
  <c r="CQ146" i="5"/>
  <c r="CO55" i="5"/>
  <c r="AV32" i="4"/>
  <c r="CR32" i="4" s="1"/>
  <c r="CU100" i="5"/>
  <c r="CU31" i="5"/>
  <c r="CU123" i="5"/>
  <c r="CU146" i="5"/>
  <c r="CU54" i="5"/>
  <c r="CU77" i="5"/>
  <c r="CX148" i="5"/>
  <c r="AO73" i="4"/>
  <c r="AO75" i="4" s="1"/>
  <c r="CN108" i="5"/>
  <c r="CW155" i="5"/>
  <c r="BF7" i="5"/>
  <c r="CQ7" i="5" s="1"/>
  <c r="CX58" i="5"/>
  <c r="BJ117" i="5"/>
  <c r="BJ12" i="5" s="1"/>
  <c r="CU12" i="5" s="1"/>
  <c r="CU58" i="5" s="1"/>
  <c r="CW109" i="5"/>
  <c r="AL73" i="4"/>
  <c r="AL75" i="4" s="1"/>
  <c r="CX79" i="5"/>
  <c r="CN131" i="5"/>
  <c r="BE22" i="4"/>
  <c r="DA22" i="4" s="1"/>
  <c r="CS104" i="5"/>
  <c r="BD44" i="5"/>
  <c r="BD7" i="5" s="1"/>
  <c r="CO7" i="5" s="1"/>
  <c r="BJ7" i="5"/>
  <c r="CU7" i="5" s="1"/>
  <c r="CU53" i="5" s="1"/>
  <c r="CW63" i="5"/>
  <c r="U44" i="5"/>
  <c r="AC32" i="4"/>
  <c r="BB61" i="4"/>
  <c r="ET61" i="4" s="1"/>
  <c r="CR61" i="5"/>
  <c r="CR38" i="5"/>
  <c r="CQ155" i="5"/>
  <c r="CQ132" i="5"/>
  <c r="CQ86" i="5"/>
  <c r="CQ40" i="5"/>
  <c r="CQ63" i="5"/>
  <c r="CQ109" i="5"/>
  <c r="CR40" i="5"/>
  <c r="CR155" i="5"/>
  <c r="CR132" i="5"/>
  <c r="CR86" i="5"/>
  <c r="CR63" i="5"/>
  <c r="CR109" i="5"/>
  <c r="CO63" i="5"/>
  <c r="CO132" i="5"/>
  <c r="CO109" i="5"/>
  <c r="CO155" i="5"/>
  <c r="CO86" i="5"/>
  <c r="CO40" i="5"/>
  <c r="CT155" i="5"/>
  <c r="CT63" i="5"/>
  <c r="CT40" i="5"/>
  <c r="CT132" i="5"/>
  <c r="CT109" i="5"/>
  <c r="CT86" i="5"/>
  <c r="BG7" i="5"/>
  <c r="CR7" i="5" s="1"/>
  <c r="AQ44" i="5"/>
  <c r="AQ7" i="5" s="1"/>
  <c r="CR54" i="5"/>
  <c r="CR123" i="5"/>
  <c r="CR77" i="5"/>
  <c r="CR31" i="5"/>
  <c r="CR146" i="5"/>
  <c r="CR100" i="5"/>
  <c r="CP132" i="5"/>
  <c r="CO54" i="5"/>
  <c r="CO31" i="5"/>
  <c r="CO100" i="5"/>
  <c r="CO123" i="5"/>
  <c r="CO146" i="5"/>
  <c r="CO77" i="5"/>
  <c r="CU40" i="5"/>
  <c r="CU155" i="5"/>
  <c r="CU63" i="5"/>
  <c r="CU132" i="5"/>
  <c r="CU109" i="5"/>
  <c r="CU86" i="5"/>
  <c r="BA26" i="5"/>
  <c r="BB44" i="5"/>
  <c r="BB54" i="5"/>
  <c r="BB8" i="5" s="1"/>
  <c r="CM8" i="5" s="1"/>
  <c r="BA51" i="5"/>
  <c r="CS77" i="5"/>
  <c r="CS31" i="5"/>
  <c r="CS54" i="5"/>
  <c r="CS123" i="5"/>
  <c r="CS100" i="5"/>
  <c r="CS146" i="5"/>
  <c r="CS86" i="5"/>
  <c r="CS40" i="5"/>
  <c r="CS155" i="5"/>
  <c r="CS132" i="5"/>
  <c r="CS109" i="5"/>
  <c r="CS63" i="5"/>
  <c r="BB133" i="5"/>
  <c r="BB13" i="5" s="1"/>
  <c r="CM13" i="5" s="1"/>
  <c r="CM82" i="5" s="1"/>
  <c r="CX33" i="5"/>
  <c r="CT35" i="5"/>
  <c r="CT60" i="5"/>
  <c r="CT87" i="5"/>
  <c r="CR60" i="5"/>
  <c r="CX32" i="5"/>
  <c r="BA150" i="5"/>
  <c r="CT152" i="5"/>
  <c r="CV59" i="5"/>
  <c r="U54" i="5"/>
  <c r="U17" i="5"/>
  <c r="AW44" i="5"/>
  <c r="AW7" i="5" s="1"/>
  <c r="BM7" i="5"/>
  <c r="CX7" i="5" s="1"/>
  <c r="AU44" i="5"/>
  <c r="AU7" i="5" s="1"/>
  <c r="BK7" i="5"/>
  <c r="CV7" i="5" s="1"/>
  <c r="AM44" i="5"/>
  <c r="AM7" i="5" s="1"/>
  <c r="CW123" i="5"/>
  <c r="CW77" i="5"/>
  <c r="CW54" i="5"/>
  <c r="CW100" i="5"/>
  <c r="CW31" i="5"/>
  <c r="CW146" i="5"/>
  <c r="CV77" i="5"/>
  <c r="CV31" i="5"/>
  <c r="CV100" i="5"/>
  <c r="CV146" i="5"/>
  <c r="CV54" i="5"/>
  <c r="CV123" i="5"/>
  <c r="CP123" i="5"/>
  <c r="CP146" i="5"/>
  <c r="CP54" i="5"/>
  <c r="CP100" i="5"/>
  <c r="CP77" i="5"/>
  <c r="CP31" i="5"/>
  <c r="CW76" i="5"/>
  <c r="CW145" i="5"/>
  <c r="CW53" i="5"/>
  <c r="CW122" i="5"/>
  <c r="CW30" i="5"/>
  <c r="CW99" i="5"/>
  <c r="CT31" i="5"/>
  <c r="CT123" i="5"/>
  <c r="CT146" i="5"/>
  <c r="CT100" i="5"/>
  <c r="CT77" i="5"/>
  <c r="CT54" i="5"/>
  <c r="BE7" i="5"/>
  <c r="CP7" i="5" s="1"/>
  <c r="AO44" i="5"/>
  <c r="AO7" i="5" s="1"/>
  <c r="CX77" i="5"/>
  <c r="CX123" i="5"/>
  <c r="CX31" i="5"/>
  <c r="CX146" i="5"/>
  <c r="CX54" i="5"/>
  <c r="CX100" i="5"/>
  <c r="BA176" i="5"/>
  <c r="BB181" i="5"/>
  <c r="BB17" i="5" s="1"/>
  <c r="CM17" i="5" s="1"/>
  <c r="CN155" i="5"/>
  <c r="CN40" i="5"/>
  <c r="CN132" i="5"/>
  <c r="CN109" i="5"/>
  <c r="CN86" i="5"/>
  <c r="CN63" i="5"/>
  <c r="CN146" i="5"/>
  <c r="CN31" i="5"/>
  <c r="CN54" i="5"/>
  <c r="CN77" i="5"/>
  <c r="CN123" i="5"/>
  <c r="CN100" i="5"/>
  <c r="CV63" i="5"/>
  <c r="CV132" i="5"/>
  <c r="CV86" i="5"/>
  <c r="CV40" i="5"/>
  <c r="CV109" i="5"/>
  <c r="CV155" i="5"/>
  <c r="CQ99" i="5"/>
  <c r="CQ122" i="5"/>
  <c r="CQ30" i="5"/>
  <c r="CQ53" i="5"/>
  <c r="CQ76" i="5"/>
  <c r="CQ145" i="5"/>
  <c r="U8" i="5"/>
  <c r="BB195" i="5"/>
  <c r="BB18" i="5" s="1"/>
  <c r="CM18" i="5" s="1"/>
  <c r="CM41" i="5" s="1"/>
  <c r="CS38" i="5"/>
  <c r="BC105" i="5"/>
  <c r="BC11" i="5" s="1"/>
  <c r="CN11" i="5" s="1"/>
  <c r="CN103" i="5" s="1"/>
  <c r="BA25" i="5"/>
  <c r="CX125" i="5"/>
  <c r="CV130" i="5"/>
  <c r="BB157" i="5"/>
  <c r="BB15" i="5" s="1"/>
  <c r="CM15" i="5" s="1"/>
  <c r="CM107" i="5" s="1"/>
  <c r="CP62" i="5"/>
  <c r="CQ127" i="5"/>
  <c r="BA180" i="5"/>
  <c r="AK180" i="5" s="1"/>
  <c r="U181" i="5"/>
  <c r="BA49" i="5"/>
  <c r="AK49" i="5" s="1"/>
  <c r="V85" i="3"/>
  <c r="C21" i="9" s="1"/>
  <c r="V108" i="3"/>
  <c r="U108" i="3" s="1"/>
  <c r="CO152" i="5"/>
  <c r="CO37" i="5"/>
  <c r="CO83" i="5"/>
  <c r="CO129" i="5"/>
  <c r="CT150" i="5"/>
  <c r="AS16" i="9"/>
  <c r="BA16" i="9" s="1"/>
  <c r="CS152" i="5"/>
  <c r="CQ81" i="5"/>
  <c r="CQ104" i="5"/>
  <c r="CQ35" i="5"/>
  <c r="CM129" i="5"/>
  <c r="CU62" i="5"/>
  <c r="V174" i="3"/>
  <c r="U174" i="3" s="1"/>
  <c r="C130" i="3"/>
  <c r="CQ58" i="5"/>
  <c r="CM114" i="3"/>
  <c r="CO117" i="5" s="1"/>
  <c r="V191" i="3"/>
  <c r="CV55" i="5"/>
  <c r="AU66" i="4"/>
  <c r="CQ66" i="4" s="1"/>
  <c r="V168" i="3"/>
  <c r="U168" i="3" s="1"/>
  <c r="CW38" i="5"/>
  <c r="CS83" i="5"/>
  <c r="CT133" i="5"/>
  <c r="V173" i="3"/>
  <c r="U173" i="3" s="1"/>
  <c r="EF31" i="4"/>
  <c r="CU56" i="4"/>
  <c r="EQ51" i="4"/>
  <c r="DK51" i="4"/>
  <c r="C240" i="3"/>
  <c r="V152" i="3"/>
  <c r="CU82" i="5"/>
  <c r="CV129" i="5"/>
  <c r="CT110" i="5"/>
  <c r="CT156" i="5"/>
  <c r="CR37" i="5"/>
  <c r="EA17" i="4"/>
  <c r="CW129" i="5"/>
  <c r="CV82" i="5"/>
  <c r="CW60" i="5"/>
  <c r="CT127" i="5"/>
  <c r="CU151" i="5"/>
  <c r="CO60" i="5"/>
  <c r="CV37" i="5"/>
  <c r="CT64" i="5"/>
  <c r="CX150" i="5"/>
  <c r="CR129" i="5"/>
  <c r="CR106" i="5"/>
  <c r="CX156" i="5"/>
  <c r="EA56" i="4"/>
  <c r="BO51" i="4"/>
  <c r="BO56" i="4"/>
  <c r="EQ56" i="4"/>
  <c r="V82" i="3"/>
  <c r="U82" i="3" s="1"/>
  <c r="CW152" i="5"/>
  <c r="CW37" i="5"/>
  <c r="CO106" i="5"/>
  <c r="CM37" i="5"/>
  <c r="CM60" i="5"/>
  <c r="CV105" i="5"/>
  <c r="CV151" i="5"/>
  <c r="V166" i="3"/>
  <c r="BG14" i="9" s="1"/>
  <c r="I26" i="8"/>
  <c r="CW106" i="5"/>
  <c r="CX62" i="5"/>
  <c r="C234" i="3"/>
  <c r="CU37" i="5"/>
  <c r="CX154" i="5"/>
  <c r="CM83" i="5"/>
  <c r="V128" i="3"/>
  <c r="CE56" i="4"/>
  <c r="CT81" i="5"/>
  <c r="CT104" i="5"/>
  <c r="CU59" i="5"/>
  <c r="CU105" i="5"/>
  <c r="BA139" i="5"/>
  <c r="CX104" i="5"/>
  <c r="CV152" i="5"/>
  <c r="CX35" i="5"/>
  <c r="CR152" i="5"/>
  <c r="CE51" i="4"/>
  <c r="CU51" i="4"/>
  <c r="CX131" i="5"/>
  <c r="C233" i="3"/>
  <c r="CX85" i="5"/>
  <c r="CM152" i="5"/>
  <c r="CV36" i="5"/>
  <c r="C229" i="3"/>
  <c r="V119" i="3"/>
  <c r="AE11" i="9" s="1"/>
  <c r="CS81" i="5"/>
  <c r="CR150" i="5"/>
  <c r="CX124" i="5"/>
  <c r="CW57" i="5"/>
  <c r="CW149" i="5"/>
  <c r="CX87" i="5"/>
  <c r="CS107" i="5"/>
  <c r="CR56" i="5"/>
  <c r="CS61" i="5"/>
  <c r="CS127" i="5"/>
  <c r="CU108" i="5"/>
  <c r="U158" i="3"/>
  <c r="CJ114" i="3" s="1"/>
  <c r="CL117" i="5" s="1"/>
  <c r="CS130" i="5"/>
  <c r="CR36" i="5"/>
  <c r="CR104" i="5"/>
  <c r="CM150" i="5"/>
  <c r="CX101" i="5"/>
  <c r="CX78" i="5"/>
  <c r="CW80" i="5"/>
  <c r="CX41" i="5"/>
  <c r="CX133" i="5"/>
  <c r="AM75" i="4"/>
  <c r="CS58" i="5"/>
  <c r="CW64" i="5"/>
  <c r="CU85" i="5"/>
  <c r="CU131" i="5"/>
  <c r="V130" i="3"/>
  <c r="AD158" i="3"/>
  <c r="CS114" i="3" s="1"/>
  <c r="CU117" i="5" s="1"/>
  <c r="V97" i="3"/>
  <c r="Q11" i="9" s="1"/>
  <c r="CS150" i="5"/>
  <c r="CX147" i="5"/>
  <c r="CW103" i="5"/>
  <c r="CX64" i="5"/>
  <c r="AT56" i="4"/>
  <c r="DV56" i="4" s="1"/>
  <c r="CS153" i="5"/>
  <c r="AI75" i="4"/>
  <c r="CU154" i="5"/>
  <c r="V170" i="3"/>
  <c r="U170" i="3" s="1"/>
  <c r="DF45" i="4"/>
  <c r="CM48" i="3"/>
  <c r="CO48" i="5" s="1"/>
  <c r="F19" i="7"/>
  <c r="V189" i="3"/>
  <c r="BU15" i="9" s="1"/>
  <c r="C301" i="3"/>
  <c r="BS33" i="4"/>
  <c r="S8" i="7"/>
  <c r="EU33" i="4"/>
  <c r="EW31" i="4"/>
  <c r="DN56" i="4"/>
  <c r="DM12" i="4"/>
  <c r="ES12" i="4"/>
  <c r="CP45" i="4"/>
  <c r="ED56" i="4"/>
  <c r="BQ12" i="4"/>
  <c r="BR56" i="4"/>
  <c r="CQ51" i="4"/>
  <c r="BK51" i="4"/>
  <c r="CH56" i="4"/>
  <c r="ET56" i="4"/>
  <c r="CA51" i="4"/>
  <c r="CF8" i="4"/>
  <c r="BZ45" i="4"/>
  <c r="DQ31" i="4"/>
  <c r="EL45" i="4"/>
  <c r="CB22" i="4"/>
  <c r="U180" i="3"/>
  <c r="CJ136" i="3" s="1"/>
  <c r="CL140" i="5" s="1"/>
  <c r="V102" i="3"/>
  <c r="U102" i="3" s="1"/>
  <c r="L143" i="1"/>
  <c r="L173" i="1"/>
  <c r="L167" i="1"/>
  <c r="N167" i="1" s="1"/>
  <c r="E109" i="2"/>
  <c r="G109" i="2" s="1"/>
  <c r="C307" i="3"/>
  <c r="L165" i="1"/>
  <c r="U181" i="3"/>
  <c r="CJ137" i="3" s="1"/>
  <c r="CL141" i="5" s="1"/>
  <c r="C131" i="3"/>
  <c r="E107" i="2"/>
  <c r="H23" i="8"/>
  <c r="G26" i="8" s="1"/>
  <c r="V105" i="3"/>
  <c r="Q19" i="9" s="1"/>
  <c r="U92" i="3"/>
  <c r="CJ48" i="3" s="1"/>
  <c r="CL48" i="5" s="1"/>
  <c r="U93" i="3"/>
  <c r="CJ49" i="3" s="1"/>
  <c r="CL49" i="5" s="1"/>
  <c r="C209" i="3"/>
  <c r="CJ77" i="3"/>
  <c r="CW156" i="5"/>
  <c r="CU148" i="5"/>
  <c r="CJ143" i="3"/>
  <c r="CU33" i="5"/>
  <c r="CJ55" i="3"/>
  <c r="CR79" i="5"/>
  <c r="V98" i="3"/>
  <c r="CJ33" i="3"/>
  <c r="C219" i="3"/>
  <c r="V131" i="3"/>
  <c r="C43" i="3"/>
  <c r="E49" i="2"/>
  <c r="C215" i="3"/>
  <c r="V127" i="3"/>
  <c r="C123" i="3"/>
  <c r="V101" i="3"/>
  <c r="CW150" i="5"/>
  <c r="CV107" i="5"/>
  <c r="CM81" i="5"/>
  <c r="D93" i="6"/>
  <c r="CP108" i="5"/>
  <c r="C214" i="3"/>
  <c r="CU125" i="5"/>
  <c r="CW81" i="5"/>
  <c r="CV61" i="5"/>
  <c r="CM58" i="5"/>
  <c r="CN85" i="5"/>
  <c r="V164" i="3"/>
  <c r="BG12" i="9" s="1"/>
  <c r="V99" i="3"/>
  <c r="U99" i="3" s="1"/>
  <c r="BA97" i="5"/>
  <c r="AK97" i="5" s="1"/>
  <c r="CO78" i="5"/>
  <c r="CP131" i="5"/>
  <c r="CT33" i="5"/>
  <c r="U159" i="3"/>
  <c r="CJ115" i="3" s="1"/>
  <c r="CL118" i="5" s="1"/>
  <c r="J45" i="6"/>
  <c r="J46" i="6" s="1"/>
  <c r="V123" i="3"/>
  <c r="AE15" i="9" s="1"/>
  <c r="V186" i="3"/>
  <c r="CU102" i="5"/>
  <c r="V167" i="3"/>
  <c r="V87" i="3"/>
  <c r="N23" i="8"/>
  <c r="V190" i="3"/>
  <c r="V104" i="3"/>
  <c r="V129" i="3"/>
  <c r="C217" i="3"/>
  <c r="C213" i="3"/>
  <c r="V125" i="3"/>
  <c r="V124" i="3"/>
  <c r="C212" i="3"/>
  <c r="V81" i="3"/>
  <c r="U81" i="3" s="1"/>
  <c r="CP82" i="5"/>
  <c r="CV84" i="5"/>
  <c r="V75" i="3"/>
  <c r="U75" i="3" s="1"/>
  <c r="AH75" i="4"/>
  <c r="V100" i="3"/>
  <c r="CP85" i="5"/>
  <c r="CV133" i="5"/>
  <c r="CT56" i="5"/>
  <c r="CV38" i="5"/>
  <c r="V107" i="3"/>
  <c r="Q21" i="9" s="1"/>
  <c r="CM127" i="5"/>
  <c r="CN62" i="5"/>
  <c r="CX128" i="5"/>
  <c r="CO32" i="5"/>
  <c r="V103" i="3"/>
  <c r="U103" i="3" s="1"/>
  <c r="D21" i="3"/>
  <c r="CJ87" i="3" s="1"/>
  <c r="CU56" i="5"/>
  <c r="V109" i="3"/>
  <c r="V106" i="3"/>
  <c r="EO45" i="4"/>
  <c r="CQ8" i="4"/>
  <c r="CZ45" i="4"/>
  <c r="BJ34" i="4"/>
  <c r="EB56" i="4"/>
  <c r="DW51" i="4"/>
  <c r="DJ45" i="4"/>
  <c r="DV45" i="4"/>
  <c r="CW12" i="4"/>
  <c r="EM51" i="4"/>
  <c r="DL8" i="4"/>
  <c r="BS44" i="4"/>
  <c r="BS72" i="4" s="1"/>
  <c r="EM8" i="4"/>
  <c r="BN33" i="4"/>
  <c r="EP33" i="4"/>
  <c r="DY45" i="4"/>
  <c r="BM45" i="4"/>
  <c r="CY51" i="4"/>
  <c r="CR56" i="4"/>
  <c r="AT72" i="4"/>
  <c r="CS16" i="4"/>
  <c r="DF44" i="4"/>
  <c r="DF72" i="4" s="1"/>
  <c r="ES51" i="4"/>
  <c r="BJ44" i="4"/>
  <c r="BJ72" i="4" s="1"/>
  <c r="CS60" i="4"/>
  <c r="EO46" i="4"/>
  <c r="DO50" i="4"/>
  <c r="CI33" i="4"/>
  <c r="EP45" i="4"/>
  <c r="ES45" i="4"/>
  <c r="CC45" i="4"/>
  <c r="DM51" i="4"/>
  <c r="DI45" i="4"/>
  <c r="BZ26" i="4"/>
  <c r="BM66" i="4"/>
  <c r="DY46" i="4"/>
  <c r="DI33" i="4"/>
  <c r="BT29" i="4"/>
  <c r="DO33" i="4"/>
  <c r="EV45" i="4"/>
  <c r="CD45" i="4"/>
  <c r="EU51" i="4"/>
  <c r="CF46" i="4"/>
  <c r="CP31" i="4"/>
  <c r="EA30" i="4"/>
  <c r="DY16" i="4"/>
  <c r="CW45" i="4"/>
  <c r="CG51" i="4"/>
  <c r="BU44" i="4"/>
  <c r="BU72" i="4" s="1"/>
  <c r="EA21" i="4"/>
  <c r="DX12" i="4"/>
  <c r="CX38" i="4"/>
  <c r="BP46" i="4"/>
  <c r="BS51" i="4"/>
  <c r="EB46" i="4"/>
  <c r="BQ45" i="4"/>
  <c r="ER46" i="4"/>
  <c r="EP17" i="4"/>
  <c r="EF45" i="4"/>
  <c r="BQ51" i="4"/>
  <c r="DO51" i="4"/>
  <c r="EC51" i="4"/>
  <c r="BK61" i="4"/>
  <c r="CS39" i="4"/>
  <c r="DK43" i="4"/>
  <c r="DG55" i="4"/>
  <c r="EU32" i="4"/>
  <c r="DM60" i="4"/>
  <c r="CI51" i="4"/>
  <c r="EC45" i="4"/>
  <c r="DP45" i="4"/>
  <c r="CG45" i="4"/>
  <c r="BT45" i="4"/>
  <c r="CV46" i="4"/>
  <c r="CR101" i="5"/>
  <c r="CR78" i="5"/>
  <c r="CR124" i="5"/>
  <c r="CR32" i="5"/>
  <c r="CS62" i="5"/>
  <c r="CS154" i="5"/>
  <c r="CS108" i="5"/>
  <c r="C295" i="3"/>
  <c r="V185" i="3"/>
  <c r="C304" i="3"/>
  <c r="V194" i="3"/>
  <c r="V163" i="3"/>
  <c r="BG11" i="9" s="1"/>
  <c r="CV124" i="5"/>
  <c r="BA154" i="5"/>
  <c r="CR153" i="5"/>
  <c r="CR84" i="5"/>
  <c r="CR105" i="5"/>
  <c r="CR148" i="5"/>
  <c r="CU152" i="5"/>
  <c r="AC33" i="4"/>
  <c r="AA19" i="5"/>
  <c r="CP125" i="5"/>
  <c r="DX55" i="4"/>
  <c r="CY34" i="4"/>
  <c r="W19" i="5"/>
  <c r="U12" i="5"/>
  <c r="CS85" i="5"/>
  <c r="CS39" i="5"/>
  <c r="P23" i="8"/>
  <c r="CJ135" i="3"/>
  <c r="CL139" i="5" s="1"/>
  <c r="BA19" i="9"/>
  <c r="AT19" i="9"/>
  <c r="BB19" i="9" s="1"/>
  <c r="CR151" i="5"/>
  <c r="AF75" i="4"/>
  <c r="DA55" i="4"/>
  <c r="U66" i="5"/>
  <c r="DJ16" i="4"/>
  <c r="CH44" i="4"/>
  <c r="CH72" i="4" s="1"/>
  <c r="CS131" i="5"/>
  <c r="U133" i="5"/>
  <c r="U143" i="5"/>
  <c r="U13" i="5"/>
  <c r="V195" i="3"/>
  <c r="BU21" i="9" s="1"/>
  <c r="V197" i="3"/>
  <c r="G93" i="6"/>
  <c r="P93" i="6"/>
  <c r="C298" i="3"/>
  <c r="V188" i="3"/>
  <c r="CV147" i="5"/>
  <c r="CR107" i="5"/>
  <c r="CR33" i="5"/>
  <c r="CU129" i="5"/>
  <c r="Y19" i="5"/>
  <c r="BA188" i="5"/>
  <c r="AK188" i="5" s="1"/>
  <c r="CR130" i="5"/>
  <c r="CX60" i="5"/>
  <c r="BA95" i="5"/>
  <c r="AK95" i="5" s="1"/>
  <c r="AE73" i="4"/>
  <c r="AE75" i="4" s="1"/>
  <c r="AD19" i="5"/>
  <c r="EV34" i="4"/>
  <c r="EN34" i="4"/>
  <c r="BR46" i="4"/>
  <c r="CR102" i="5"/>
  <c r="AC74" i="4"/>
  <c r="BA64" i="5"/>
  <c r="V193" i="3"/>
  <c r="U15" i="5"/>
  <c r="CN110" i="5"/>
  <c r="CN64" i="5"/>
  <c r="CN156" i="5"/>
  <c r="CN41" i="5"/>
  <c r="CN87" i="5"/>
  <c r="CN133" i="5"/>
  <c r="CT154" i="5"/>
  <c r="CT108" i="5"/>
  <c r="CT131" i="5"/>
  <c r="C54" i="3"/>
  <c r="V76" i="3"/>
  <c r="C61" i="3"/>
  <c r="V83" i="3"/>
  <c r="C64" i="3"/>
  <c r="V86" i="3"/>
  <c r="CR147" i="5"/>
  <c r="CR55" i="5"/>
  <c r="C257" i="3"/>
  <c r="V169" i="3"/>
  <c r="EN56" i="4"/>
  <c r="CV87" i="5"/>
  <c r="CT79" i="5"/>
  <c r="CP128" i="5"/>
  <c r="BP43" i="4"/>
  <c r="CX151" i="5"/>
  <c r="DO65" i="4"/>
  <c r="CK66" i="4"/>
  <c r="CR34" i="4"/>
  <c r="CJ50" i="4"/>
  <c r="BA167" i="5"/>
  <c r="AK167" i="5" s="1"/>
  <c r="U14" i="5"/>
  <c r="BC117" i="5"/>
  <c r="BC12" i="5" s="1"/>
  <c r="CN12" i="5" s="1"/>
  <c r="CW41" i="5"/>
  <c r="CW87" i="5"/>
  <c r="CT125" i="5"/>
  <c r="C260" i="3"/>
  <c r="V172" i="3"/>
  <c r="CR128" i="5"/>
  <c r="CR59" i="5"/>
  <c r="CM170" i="5"/>
  <c r="BW4" i="4"/>
  <c r="C253" i="3"/>
  <c r="V165" i="3"/>
  <c r="U117" i="5"/>
  <c r="AT15" i="9"/>
  <c r="BB15" i="9" s="1"/>
  <c r="DF60" i="4"/>
  <c r="BA191" i="5"/>
  <c r="U79" i="5"/>
  <c r="CX105" i="5"/>
  <c r="CX59" i="5"/>
  <c r="CZ50" i="4"/>
  <c r="ED33" i="4"/>
  <c r="BR44" i="4"/>
  <c r="BR72" i="4" s="1"/>
  <c r="BA46" i="4"/>
  <c r="CW46" i="4" s="1"/>
  <c r="CJ56" i="4"/>
  <c r="CW110" i="5"/>
  <c r="CT102" i="5"/>
  <c r="CV41" i="5"/>
  <c r="CV110" i="5"/>
  <c r="CV64" i="5"/>
  <c r="CX106" i="5"/>
  <c r="CX37" i="5"/>
  <c r="CX83" i="5"/>
  <c r="CX152" i="5"/>
  <c r="V171" i="3"/>
  <c r="C259" i="3"/>
  <c r="CN79" i="5"/>
  <c r="CN56" i="5"/>
  <c r="CO101" i="5"/>
  <c r="CO147" i="5"/>
  <c r="CP170" i="5"/>
  <c r="DS4" i="4"/>
  <c r="CW61" i="5"/>
  <c r="CW130" i="5"/>
  <c r="CW107" i="5"/>
  <c r="CW153" i="5"/>
  <c r="U16" i="5"/>
  <c r="AD73" i="4"/>
  <c r="AD75" i="4" s="1"/>
  <c r="CX82" i="5"/>
  <c r="AJ75" i="4"/>
  <c r="AC19" i="5"/>
  <c r="CH33" i="4"/>
  <c r="DX56" i="4"/>
  <c r="AN75" i="4"/>
  <c r="CQ108" i="5"/>
  <c r="CQ39" i="5"/>
  <c r="CQ131" i="5"/>
  <c r="CQ154" i="5"/>
  <c r="CQ62" i="5"/>
  <c r="CQ85" i="5"/>
  <c r="CX107" i="5"/>
  <c r="CX153" i="5"/>
  <c r="CX84" i="5"/>
  <c r="CX130" i="5"/>
  <c r="CX61" i="5"/>
  <c r="CX38" i="5"/>
  <c r="CW131" i="5"/>
  <c r="CW154" i="5"/>
  <c r="CW108" i="5"/>
  <c r="CW85" i="5"/>
  <c r="CW62" i="5"/>
  <c r="CW39" i="5"/>
  <c r="CQ101" i="5"/>
  <c r="CQ147" i="5"/>
  <c r="CQ55" i="5"/>
  <c r="CQ32" i="5"/>
  <c r="CU38" i="5"/>
  <c r="CU130" i="5"/>
  <c r="CR58" i="5"/>
  <c r="CR35" i="5"/>
  <c r="CP38" i="5"/>
  <c r="CP107" i="5"/>
  <c r="CP153" i="5"/>
  <c r="CP130" i="5"/>
  <c r="CP84" i="5"/>
  <c r="CP61" i="5"/>
  <c r="C328" i="3"/>
  <c r="V196" i="3"/>
  <c r="U120" i="3"/>
  <c r="AE12" i="9"/>
  <c r="C34" i="3"/>
  <c r="V78" i="3"/>
  <c r="C40" i="3"/>
  <c r="V84" i="3"/>
  <c r="U157" i="5"/>
  <c r="CU107" i="5"/>
  <c r="DN44" i="4"/>
  <c r="DN72" i="4" s="1"/>
  <c r="CQ78" i="5"/>
  <c r="BB79" i="5"/>
  <c r="BB10" i="5" s="1"/>
  <c r="CM10" i="5" s="1"/>
  <c r="CM125" i="5" s="1"/>
  <c r="CT85" i="5"/>
  <c r="CT39" i="5"/>
  <c r="CV43" i="4"/>
  <c r="CP33" i="5"/>
  <c r="CP56" i="5"/>
  <c r="DP50" i="4"/>
  <c r="CI27" i="4"/>
  <c r="EM30" i="4"/>
  <c r="DJ12" i="4"/>
  <c r="EF50" i="4"/>
  <c r="EN65" i="4"/>
  <c r="DV8" i="4"/>
  <c r="BI133" i="5"/>
  <c r="BI13" i="5" s="1"/>
  <c r="AK74" i="4"/>
  <c r="AK75" i="4" s="1"/>
  <c r="V187" i="3"/>
  <c r="C319" i="3"/>
  <c r="BF143" i="5"/>
  <c r="BF14" i="5" s="1"/>
  <c r="CQ14" i="5" s="1"/>
  <c r="BA138" i="5"/>
  <c r="CU64" i="5"/>
  <c r="CU110" i="5"/>
  <c r="CU156" i="5"/>
  <c r="CU133" i="5"/>
  <c r="CU87" i="5"/>
  <c r="CU41" i="5"/>
  <c r="CT153" i="5"/>
  <c r="CT130" i="5"/>
  <c r="CT38" i="5"/>
  <c r="CT84" i="5"/>
  <c r="CT107" i="5"/>
  <c r="CT61" i="5"/>
  <c r="BC133" i="5"/>
  <c r="BC13" i="5" s="1"/>
  <c r="CN13" i="5" s="1"/>
  <c r="BA125" i="5"/>
  <c r="BD157" i="5"/>
  <c r="BD15" i="5" s="1"/>
  <c r="CO15" i="5" s="1"/>
  <c r="BA149" i="5"/>
  <c r="U121" i="3"/>
  <c r="AE13" i="9"/>
  <c r="CW127" i="5"/>
  <c r="CW104" i="5"/>
  <c r="BD3" i="7"/>
  <c r="I31" i="7"/>
  <c r="I36" i="7" s="1"/>
  <c r="BE71" i="7" s="1"/>
  <c r="C35" i="3"/>
  <c r="V79" i="3"/>
  <c r="C36" i="3"/>
  <c r="V80" i="3"/>
  <c r="CV78" i="5"/>
  <c r="CV32" i="5"/>
  <c r="BA124" i="5"/>
  <c r="AK124" i="5" s="1"/>
  <c r="BL133" i="5"/>
  <c r="BL13" i="5" s="1"/>
  <c r="CW13" i="5" s="1"/>
  <c r="CU83" i="5"/>
  <c r="CU106" i="5"/>
  <c r="CP87" i="5"/>
  <c r="CP41" i="5"/>
  <c r="CP64" i="5"/>
  <c r="CP156" i="5"/>
  <c r="CP133" i="5"/>
  <c r="CP110" i="5"/>
  <c r="ED44" i="4"/>
  <c r="ED72" i="4" s="1"/>
  <c r="BL8" i="4"/>
  <c r="CT62" i="5"/>
  <c r="AZ72" i="4"/>
  <c r="Z19" i="5"/>
  <c r="BD171" i="5"/>
  <c r="BD16" i="5" s="1"/>
  <c r="CO16" i="5" s="1"/>
  <c r="CO85" i="5" s="1"/>
  <c r="BE105" i="5"/>
  <c r="BE11" i="5" s="1"/>
  <c r="CP11" i="5" s="1"/>
  <c r="CP126" i="5" s="1"/>
  <c r="U105" i="5"/>
  <c r="CP102" i="5"/>
  <c r="BM27" i="4"/>
  <c r="EV50" i="4"/>
  <c r="CX44" i="4"/>
  <c r="CX72" i="4" s="1"/>
  <c r="EN29" i="4"/>
  <c r="DI32" i="4"/>
  <c r="CC27" i="4"/>
  <c r="BR45" i="4"/>
  <c r="CP8" i="4"/>
  <c r="BH133" i="5"/>
  <c r="BH13" i="5" s="1"/>
  <c r="CS13" i="5" s="1"/>
  <c r="U171" i="5"/>
  <c r="CV58" i="5"/>
  <c r="CV35" i="5"/>
  <c r="CV104" i="5"/>
  <c r="CV81" i="5"/>
  <c r="CV127" i="5"/>
  <c r="CV150" i="5"/>
  <c r="C302" i="3"/>
  <c r="V192" i="3"/>
  <c r="CQ33" i="5"/>
  <c r="CQ125" i="5"/>
  <c r="CQ148" i="5"/>
  <c r="CQ79" i="5"/>
  <c r="CQ102" i="5"/>
  <c r="CQ56" i="5"/>
  <c r="CP59" i="5"/>
  <c r="CP105" i="5"/>
  <c r="CP36" i="5"/>
  <c r="BA112" i="5"/>
  <c r="BD117" i="5"/>
  <c r="BD12" i="5" s="1"/>
  <c r="CO12" i="5" s="1"/>
  <c r="CQ38" i="5"/>
  <c r="CQ61" i="5"/>
  <c r="CQ107" i="5"/>
  <c r="CQ130" i="5"/>
  <c r="EI4" i="4"/>
  <c r="CQ170" i="5"/>
  <c r="CU153" i="5"/>
  <c r="DX65" i="4"/>
  <c r="CQ124" i="5"/>
  <c r="BM61" i="4"/>
  <c r="CU84" i="5"/>
  <c r="BZ65" i="4"/>
  <c r="DP26" i="4"/>
  <c r="AF19" i="5"/>
  <c r="X19" i="5"/>
  <c r="U195" i="5"/>
  <c r="CJ34" i="4"/>
  <c r="DW8" i="4"/>
  <c r="DA60" i="4"/>
  <c r="DW33" i="4"/>
  <c r="CI8" i="4"/>
  <c r="EU65" i="4"/>
  <c r="EO27" i="4"/>
  <c r="CR22" i="4"/>
  <c r="CC32" i="4"/>
  <c r="EE33" i="4"/>
  <c r="DF46" i="4"/>
  <c r="BQ22" i="4"/>
  <c r="EW21" i="4"/>
  <c r="V77" i="3"/>
  <c r="BB171" i="5"/>
  <c r="BB16" i="5" s="1"/>
  <c r="CM16" i="5" s="1"/>
  <c r="BF195" i="5"/>
  <c r="BF18" i="5" s="1"/>
  <c r="CQ18" i="5" s="1"/>
  <c r="BO30" i="4"/>
  <c r="EW65" i="4"/>
  <c r="CQ61" i="4"/>
  <c r="CX60" i="4"/>
  <c r="CR46" i="4"/>
  <c r="ER31" i="4"/>
  <c r="DG56" i="4"/>
  <c r="DK30" i="4"/>
  <c r="DQ44" i="4"/>
  <c r="DQ72" i="4" s="1"/>
  <c r="CJ38" i="4"/>
  <c r="DQ60" i="4"/>
  <c r="EM33" i="4"/>
  <c r="CX34" i="4"/>
  <c r="CJ29" i="4"/>
  <c r="EO31" i="4"/>
  <c r="CS26" i="4"/>
  <c r="ED60" i="4"/>
  <c r="EV55" i="4"/>
  <c r="DX34" i="4"/>
  <c r="BL22" i="4"/>
  <c r="CT17" i="4"/>
  <c r="CQ17" i="4"/>
  <c r="BS61" i="4"/>
  <c r="EQ43" i="4"/>
  <c r="BZ66" i="4"/>
  <c r="CU21" i="4"/>
  <c r="DH46" i="4"/>
  <c r="EF61" i="4"/>
  <c r="BE72" i="4"/>
  <c r="CV60" i="4"/>
  <c r="CQ55" i="4"/>
  <c r="ET34" i="4"/>
  <c r="EF34" i="4"/>
  <c r="ES60" i="4"/>
  <c r="BR30" i="4"/>
  <c r="EO26" i="4"/>
  <c r="DH30" i="4"/>
  <c r="BS12" i="4"/>
  <c r="BJ22" i="4"/>
  <c r="EL31" i="4"/>
  <c r="BK56" i="4"/>
  <c r="DP66" i="4"/>
  <c r="CJ28" i="4"/>
  <c r="DV31" i="4"/>
  <c r="CP22" i="4"/>
  <c r="EO8" i="4"/>
  <c r="BJ31" i="4"/>
  <c r="EB32" i="4"/>
  <c r="EM56" i="4"/>
  <c r="BR66" i="4"/>
  <c r="CB56" i="4"/>
  <c r="DH65" i="4"/>
  <c r="ER44" i="4"/>
  <c r="ER72" i="4" s="1"/>
  <c r="EL65" i="4"/>
  <c r="EW55" i="4"/>
  <c r="CF43" i="4"/>
  <c r="BT26" i="4"/>
  <c r="AU71" i="4"/>
  <c r="EB27" i="4"/>
  <c r="BQ38" i="4"/>
  <c r="CG31" i="4"/>
  <c r="BS8" i="4"/>
  <c r="DN33" i="4"/>
  <c r="CC33" i="4"/>
  <c r="ET33" i="4"/>
  <c r="EO16" i="4"/>
  <c r="EM16" i="4"/>
  <c r="DH55" i="4"/>
  <c r="EC26" i="4"/>
  <c r="BT8" i="4"/>
  <c r="BT56" i="4"/>
  <c r="DP56" i="4"/>
  <c r="DI16" i="4"/>
  <c r="BL55" i="4"/>
  <c r="CW17" i="4"/>
  <c r="EP30" i="4"/>
  <c r="ET44" i="4"/>
  <c r="ET72" i="4" s="1"/>
  <c r="BK12" i="4"/>
  <c r="CX33" i="4"/>
  <c r="EC22" i="4"/>
  <c r="CZ28" i="4"/>
  <c r="EV56" i="4"/>
  <c r="CB65" i="4"/>
  <c r="BZ8" i="4"/>
  <c r="EC17" i="4"/>
  <c r="BQ17" i="4"/>
  <c r="EL8" i="4"/>
  <c r="CY12" i="4"/>
  <c r="EN55" i="4"/>
  <c r="CR55" i="4"/>
  <c r="EU12" i="4"/>
  <c r="CQ56" i="4"/>
  <c r="EL22" i="4"/>
  <c r="DV22" i="4"/>
  <c r="CB30" i="4"/>
  <c r="CV32" i="4"/>
  <c r="DH56" i="4"/>
  <c r="BL65" i="4"/>
  <c r="EM50" i="4"/>
  <c r="BL45" i="4"/>
  <c r="EA22" i="4"/>
  <c r="EB44" i="4"/>
  <c r="EB72" i="4" s="1"/>
  <c r="ET8" i="4"/>
  <c r="CP65" i="4"/>
  <c r="CK55" i="4"/>
  <c r="CJ26" i="4"/>
  <c r="DW16" i="4"/>
  <c r="ED22" i="4"/>
  <c r="EE8" i="4"/>
  <c r="BL12" i="4"/>
  <c r="DJ30" i="4"/>
  <c r="DF28" i="4"/>
  <c r="BS16" i="4"/>
  <c r="DP8" i="4"/>
  <c r="DM22" i="4"/>
  <c r="DW56" i="4"/>
  <c r="ES17" i="4"/>
  <c r="DY51" i="4"/>
  <c r="BZ31" i="4"/>
  <c r="BJ8" i="4"/>
  <c r="ER32" i="4"/>
  <c r="EG21" i="4"/>
  <c r="EN12" i="4"/>
  <c r="CS32" i="4"/>
  <c r="BM16" i="4"/>
  <c r="CW22" i="4"/>
  <c r="BN17" i="4"/>
  <c r="CZ56" i="4"/>
  <c r="DA21" i="4"/>
  <c r="DM17" i="4"/>
  <c r="EE12" i="4"/>
  <c r="ES22" i="4"/>
  <c r="CJ31" i="4"/>
  <c r="CI21" i="4"/>
  <c r="CK28" i="4"/>
  <c r="CK16" i="4"/>
  <c r="BQ66" i="4"/>
  <c r="CC51" i="4"/>
  <c r="DI55" i="4"/>
  <c r="EL34" i="4"/>
  <c r="AS27" i="4"/>
  <c r="CK31" i="4"/>
  <c r="BO17" i="4"/>
  <c r="BT31" i="4"/>
  <c r="DP31" i="4"/>
  <c r="EQ39" i="4"/>
  <c r="EA39" i="4"/>
  <c r="AX72" i="4"/>
  <c r="CK38" i="4"/>
  <c r="DZ31" i="4"/>
  <c r="BM44" i="4"/>
  <c r="BM72" i="4" s="1"/>
  <c r="EL50" i="4"/>
  <c r="BQ50" i="4"/>
  <c r="CU33" i="4"/>
  <c r="BZ34" i="4"/>
  <c r="BS34" i="4"/>
  <c r="CP28" i="4"/>
  <c r="ER56" i="4"/>
  <c r="DK17" i="4"/>
  <c r="CD46" i="4"/>
  <c r="CS51" i="4"/>
  <c r="BU31" i="4"/>
  <c r="EQ17" i="4"/>
  <c r="BU45" i="4"/>
  <c r="AW72" i="4"/>
  <c r="BC74" i="4"/>
  <c r="CC44" i="4"/>
  <c r="CC72" i="4" s="1"/>
  <c r="EU44" i="4"/>
  <c r="EU72" i="4" s="1"/>
  <c r="DI44" i="4"/>
  <c r="DI72" i="4" s="1"/>
  <c r="CI45" i="4"/>
  <c r="BP56" i="4"/>
  <c r="CP34" i="4"/>
  <c r="DO34" i="4"/>
  <c r="DL56" i="4"/>
  <c r="DY44" i="4"/>
  <c r="DY72" i="4" s="1"/>
  <c r="CQ45" i="4"/>
  <c r="BZ61" i="4"/>
  <c r="CZ22" i="4"/>
  <c r="CB45" i="4"/>
  <c r="CZ31" i="4"/>
  <c r="CS30" i="4"/>
  <c r="EQ38" i="4"/>
  <c r="BM51" i="4"/>
  <c r="EW34" i="4"/>
  <c r="EN44" i="4"/>
  <c r="EN72" i="4" s="1"/>
  <c r="EA8" i="4"/>
  <c r="DO26" i="4"/>
  <c r="DI51" i="4"/>
  <c r="DV34" i="4"/>
  <c r="DN55" i="4"/>
  <c r="BO8" i="4"/>
  <c r="CV56" i="4"/>
  <c r="DO17" i="4"/>
  <c r="CT22" i="4"/>
  <c r="BP8" i="4"/>
  <c r="CA17" i="4"/>
  <c r="ER8" i="4"/>
  <c r="EG31" i="4"/>
  <c r="CI31" i="4"/>
  <c r="CU17" i="4"/>
  <c r="EB31" i="4"/>
  <c r="CV8" i="4"/>
  <c r="DZ43" i="4"/>
  <c r="DX30" i="4"/>
  <c r="EO44" i="4"/>
  <c r="EO72" i="4" s="1"/>
  <c r="CZ8" i="4"/>
  <c r="DH39" i="4"/>
  <c r="BL39" i="4"/>
  <c r="CY55" i="4"/>
  <c r="CT50" i="4"/>
  <c r="EN27" i="4"/>
  <c r="BN43" i="4"/>
  <c r="BR8" i="4"/>
  <c r="CH8" i="4"/>
  <c r="BR12" i="4"/>
  <c r="DM31" i="4"/>
  <c r="BO33" i="4"/>
  <c r="DP28" i="4"/>
  <c r="BJ28" i="4"/>
  <c r="DN12" i="4"/>
  <c r="CZ16" i="4"/>
  <c r="EE31" i="4"/>
  <c r="DG17" i="4"/>
  <c r="EC31" i="4"/>
  <c r="EL46" i="4"/>
  <c r="EF16" i="4"/>
  <c r="DW17" i="4"/>
  <c r="CJ8" i="4"/>
  <c r="EV22" i="4"/>
  <c r="DV50" i="4"/>
  <c r="DL31" i="4"/>
  <c r="ED45" i="4"/>
  <c r="EA28" i="4"/>
  <c r="CP26" i="4"/>
  <c r="CQ50" i="4"/>
  <c r="BS55" i="4"/>
  <c r="DX45" i="4"/>
  <c r="CD50" i="4"/>
  <c r="CE22" i="4"/>
  <c r="ED8" i="4"/>
  <c r="BP55" i="4"/>
  <c r="CI44" i="4"/>
  <c r="CI72" i="4" s="1"/>
  <c r="CW43" i="4"/>
  <c r="BT51" i="4"/>
  <c r="EQ8" i="4"/>
  <c r="CW44" i="4"/>
  <c r="CW72" i="4" s="1"/>
  <c r="ES31" i="4"/>
  <c r="DH12" i="4"/>
  <c r="ES29" i="4"/>
  <c r="CG43" i="4"/>
  <c r="CH22" i="4"/>
  <c r="BQ26" i="4"/>
  <c r="DP51" i="4"/>
  <c r="EW28" i="4"/>
  <c r="DO21" i="4"/>
  <c r="CG61" i="4"/>
  <c r="EG43" i="4"/>
  <c r="EF28" i="4"/>
  <c r="EL28" i="4"/>
  <c r="CU8" i="4"/>
  <c r="CW65" i="4"/>
  <c r="ET46" i="4"/>
  <c r="EF22" i="4"/>
  <c r="BZ46" i="4"/>
  <c r="BS31" i="4"/>
  <c r="BU61" i="4"/>
  <c r="CD43" i="4"/>
  <c r="DA61" i="4"/>
  <c r="DA32" i="4"/>
  <c r="DK33" i="4"/>
  <c r="DO31" i="4"/>
  <c r="CD30" i="4"/>
  <c r="BZ22" i="4"/>
  <c r="CP46" i="4"/>
  <c r="CD17" i="4"/>
  <c r="DH29" i="4"/>
  <c r="BT28" i="4"/>
  <c r="ET32" i="4"/>
  <c r="CI61" i="4"/>
  <c r="CE8" i="4"/>
  <c r="CF32" i="4"/>
  <c r="CY8" i="4"/>
  <c r="DO8" i="4"/>
  <c r="EO32" i="4"/>
  <c r="BM32" i="4"/>
  <c r="BR65" i="4"/>
  <c r="BN30" i="4"/>
  <c r="CB39" i="4"/>
  <c r="CB50" i="4"/>
  <c r="EU21" i="4"/>
  <c r="CV31" i="4"/>
  <c r="EU31" i="4"/>
  <c r="EG61" i="4"/>
  <c r="BK17" i="4"/>
  <c r="DL32" i="4"/>
  <c r="EL43" i="4"/>
  <c r="DF26" i="4"/>
  <c r="EE55" i="4"/>
  <c r="EN45" i="4"/>
  <c r="DZ50" i="4"/>
  <c r="EN39" i="4"/>
  <c r="CX8" i="4"/>
  <c r="EE44" i="4"/>
  <c r="EE72" i="4" s="1"/>
  <c r="CT30" i="4"/>
  <c r="CG16" i="4"/>
  <c r="CE38" i="4"/>
  <c r="DX39" i="4"/>
  <c r="BQ31" i="4"/>
  <c r="CW29" i="4"/>
  <c r="CW26" i="4"/>
  <c r="ED12" i="4"/>
  <c r="EQ22" i="4"/>
  <c r="EA33" i="4"/>
  <c r="EV8" i="4"/>
  <c r="BZ28" i="4"/>
  <c r="CX12" i="4"/>
  <c r="DM65" i="4"/>
  <c r="ES44" i="4"/>
  <c r="ES72" i="4" s="1"/>
  <c r="CE33" i="4"/>
  <c r="EE61" i="4"/>
  <c r="DZ17" i="4"/>
  <c r="DV46" i="4"/>
  <c r="G100" i="6"/>
  <c r="DP16" i="4"/>
  <c r="BP31" i="4"/>
  <c r="CH45" i="4"/>
  <c r="DI61" i="4"/>
  <c r="BT66" i="4"/>
  <c r="EL26" i="4"/>
  <c r="DO55" i="4"/>
  <c r="DJ50" i="4"/>
  <c r="DL44" i="4"/>
  <c r="DL72" i="4" s="1"/>
  <c r="CF55" i="4"/>
  <c r="DO44" i="4"/>
  <c r="DO72" i="4" s="1"/>
  <c r="CY44" i="4"/>
  <c r="CY72" i="4" s="1"/>
  <c r="ER34" i="4"/>
  <c r="CY29" i="4"/>
  <c r="DI27" i="4"/>
  <c r="CI65" i="4"/>
  <c r="CA46" i="4"/>
  <c r="CE45" i="4"/>
  <c r="EG60" i="4"/>
  <c r="BK33" i="4"/>
  <c r="DV44" i="4"/>
  <c r="DV72" i="4" s="1"/>
  <c r="BD72" i="4"/>
  <c r="CB17" i="4"/>
  <c r="BS65" i="4"/>
  <c r="BK8" i="4"/>
  <c r="EA12" i="4"/>
  <c r="EL32" i="4"/>
  <c r="BS29" i="4"/>
  <c r="BS50" i="4"/>
  <c r="CU28" i="4"/>
  <c r="EN38" i="4"/>
  <c r="CQ16" i="4"/>
  <c r="EV29" i="4"/>
  <c r="DY27" i="4"/>
  <c r="EE21" i="4"/>
  <c r="BL34" i="4"/>
  <c r="ES65" i="4"/>
  <c r="CH38" i="4"/>
  <c r="DX22" i="4"/>
  <c r="CR29" i="4"/>
  <c r="DQ32" i="4"/>
  <c r="CA45" i="4"/>
  <c r="DO16" i="4"/>
  <c r="AS28" i="4"/>
  <c r="EV16" i="4"/>
  <c r="DG12" i="4"/>
  <c r="EN30" i="4"/>
  <c r="DJ43" i="4"/>
  <c r="CT43" i="4"/>
  <c r="CR38" i="4"/>
  <c r="DG8" i="4"/>
  <c r="EP46" i="4"/>
  <c r="EO61" i="4"/>
  <c r="EV66" i="4"/>
  <c r="DV26" i="4"/>
  <c r="CI55" i="4"/>
  <c r="BN50" i="4"/>
  <c r="CF44" i="4"/>
  <c r="CF72" i="4" s="1"/>
  <c r="BP44" i="4"/>
  <c r="BP72" i="4" s="1"/>
  <c r="ED65" i="4"/>
  <c r="EU50" i="4"/>
  <c r="EC65" i="4"/>
  <c r="ED38" i="4"/>
  <c r="EC21" i="4"/>
  <c r="EE45" i="4"/>
  <c r="CY65" i="4"/>
  <c r="ER30" i="4"/>
  <c r="CC34" i="4"/>
  <c r="EN22" i="4"/>
  <c r="EA45" i="4"/>
  <c r="DG46" i="4"/>
  <c r="CY50" i="4"/>
  <c r="BS21" i="4"/>
  <c r="CB34" i="4"/>
  <c r="CG65" i="4"/>
  <c r="DX38" i="4"/>
  <c r="CR30" i="4"/>
  <c r="EW32" i="4"/>
  <c r="DW12" i="4"/>
  <c r="CJ66" i="4"/>
  <c r="CZ66" i="4"/>
  <c r="DQ21" i="4"/>
  <c r="BU21" i="4"/>
  <c r="BT16" i="4"/>
  <c r="DZ46" i="4"/>
  <c r="DJ46" i="4"/>
  <c r="CV12" i="4"/>
  <c r="ER12" i="4"/>
  <c r="DL12" i="4"/>
  <c r="BU32" i="4"/>
  <c r="CK32" i="4"/>
  <c r="EW61" i="4"/>
  <c r="CK61" i="4"/>
  <c r="BN45" i="4"/>
  <c r="DZ45" i="4"/>
  <c r="BD71" i="4"/>
  <c r="BJ66" i="4"/>
  <c r="DF43" i="4"/>
  <c r="BZ60" i="4"/>
  <c r="CH65" i="4"/>
  <c r="CX65" i="4"/>
  <c r="ER55" i="4"/>
  <c r="DL55" i="4"/>
  <c r="CG50" i="4"/>
  <c r="EP12" i="4"/>
  <c r="DM50" i="4"/>
  <c r="CF60" i="4"/>
  <c r="BS27" i="4"/>
  <c r="BT12" i="4"/>
  <c r="CD31" i="4"/>
  <c r="BU34" i="4"/>
  <c r="EV44" i="4"/>
  <c r="EV72" i="4" s="1"/>
  <c r="DA66" i="4"/>
  <c r="EA55" i="4"/>
  <c r="BL17" i="4"/>
  <c r="DK39" i="4"/>
  <c r="EC50" i="4"/>
  <c r="EF38" i="4"/>
  <c r="EW16" i="4"/>
  <c r="EC66" i="4"/>
  <c r="CP43" i="4"/>
  <c r="DV61" i="4"/>
  <c r="BM55" i="4"/>
  <c r="DI31" i="4"/>
  <c r="DG30" i="4"/>
  <c r="EN50" i="4"/>
  <c r="DZ12" i="4"/>
  <c r="EU17" i="4"/>
  <c r="CY17" i="4"/>
  <c r="CD22" i="4"/>
  <c r="CJ32" i="4"/>
  <c r="DA46" i="4"/>
  <c r="DX46" i="4"/>
  <c r="CT46" i="4"/>
  <c r="CS61" i="4"/>
  <c r="CP66" i="4"/>
  <c r="DV43" i="4"/>
  <c r="EM61" i="4"/>
  <c r="BJ60" i="4"/>
  <c r="EN8" i="4"/>
  <c r="EW44" i="4"/>
  <c r="EW72" i="4" s="1"/>
  <c r="BB74" i="4"/>
  <c r="ET65" i="4"/>
  <c r="EB55" i="4"/>
  <c r="EU38" i="4"/>
  <c r="EQ16" i="4"/>
  <c r="CU60" i="4"/>
  <c r="BL26" i="4"/>
  <c r="EO50" i="4"/>
  <c r="ES43" i="4"/>
  <c r="EE32" i="4"/>
  <c r="CW66" i="4"/>
  <c r="CY45" i="4"/>
  <c r="CR50" i="4"/>
  <c r="ED34" i="4"/>
  <c r="EG16" i="4"/>
  <c r="EB60" i="4"/>
  <c r="BK55" i="4"/>
  <c r="CZ12" i="4"/>
  <c r="DO30" i="4"/>
  <c r="BN31" i="4"/>
  <c r="CZ44" i="4"/>
  <c r="CZ72" i="4" s="1"/>
  <c r="BT44" i="4"/>
  <c r="BT72" i="4" s="1"/>
  <c r="EQ55" i="4"/>
  <c r="EN17" i="4"/>
  <c r="BQ44" i="4"/>
  <c r="BQ72" i="4" s="1"/>
  <c r="EC43" i="4"/>
  <c r="CZ38" i="4"/>
  <c r="DQ16" i="4"/>
  <c r="CH34" i="4"/>
  <c r="DM66" i="4"/>
  <c r="DO32" i="4"/>
  <c r="DN38" i="4"/>
  <c r="BE74" i="4"/>
  <c r="CW33" i="4"/>
  <c r="CU22" i="4"/>
  <c r="DW21" i="4"/>
  <c r="CG60" i="4"/>
  <c r="CS55" i="4"/>
  <c r="ET30" i="4"/>
  <c r="BM31" i="4"/>
  <c r="DW30" i="4"/>
  <c r="DI26" i="4"/>
  <c r="ET55" i="4"/>
  <c r="DH50" i="4"/>
  <c r="BM30" i="4"/>
  <c r="CT12" i="4"/>
  <c r="BR38" i="4"/>
  <c r="CA21" i="4"/>
  <c r="CI17" i="4"/>
  <c r="DZ22" i="4"/>
  <c r="CE30" i="4"/>
  <c r="ES50" i="4"/>
  <c r="CI28" i="4"/>
  <c r="CS8" i="4"/>
  <c r="J99" i="6"/>
  <c r="DI8" i="4"/>
  <c r="BT22" i="4"/>
  <c r="J96" i="6"/>
  <c r="J97" i="6"/>
  <c r="DG45" i="4"/>
  <c r="DN32" i="4"/>
  <c r="DO61" i="4"/>
  <c r="CQ12" i="4"/>
  <c r="EE16" i="4"/>
  <c r="CY16" i="4"/>
  <c r="CJ21" i="4"/>
  <c r="EV21" i="4"/>
  <c r="EF21" i="4"/>
  <c r="BT21" i="4"/>
  <c r="DP21" i="4"/>
  <c r="DQ45" i="4"/>
  <c r="CK45" i="4"/>
  <c r="EP65" i="4"/>
  <c r="DJ65" i="4"/>
  <c r="BN65" i="4"/>
  <c r="DZ65" i="4"/>
  <c r="EU34" i="4"/>
  <c r="EE34" i="4"/>
  <c r="ET45" i="4"/>
  <c r="CX45" i="4"/>
  <c r="BL29" i="4"/>
  <c r="DX29" i="4"/>
  <c r="BK16" i="4"/>
  <c r="CA16" i="4"/>
  <c r="EM45" i="4"/>
  <c r="BS28" i="4"/>
  <c r="CY28" i="4"/>
  <c r="DY8" i="4"/>
  <c r="EU61" i="4"/>
  <c r="DW45" i="4"/>
  <c r="CX32" i="4"/>
  <c r="EG45" i="4"/>
  <c r="DY61" i="4"/>
  <c r="EQ30" i="4"/>
  <c r="BJ43" i="4"/>
  <c r="AX74" i="4"/>
  <c r="EG44" i="4"/>
  <c r="EG72" i="4" s="1"/>
  <c r="DA44" i="4"/>
  <c r="DA72" i="4" s="1"/>
  <c r="AS44" i="4"/>
  <c r="AS72" i="4" s="1"/>
  <c r="AS65" i="4"/>
  <c r="CU16" i="4"/>
  <c r="BN22" i="4"/>
  <c r="CX55" i="4"/>
  <c r="CI16" i="4"/>
  <c r="EB12" i="4"/>
  <c r="DW55" i="4"/>
  <c r="CA55" i="4"/>
  <c r="CT31" i="4"/>
  <c r="EP31" i="4"/>
  <c r="CI46" i="4"/>
  <c r="BA72" i="4"/>
  <c r="BO39" i="4"/>
  <c r="DM43" i="4"/>
  <c r="DA16" i="4"/>
  <c r="BU8" i="4"/>
  <c r="BR34" i="4"/>
  <c r="CG66" i="4"/>
  <c r="BK21" i="4"/>
  <c r="DG21" i="4"/>
  <c r="AS12" i="4"/>
  <c r="BL50" i="4"/>
  <c r="CQ21" i="4"/>
  <c r="BS17" i="4"/>
  <c r="DJ22" i="4"/>
  <c r="AY74" i="4"/>
  <c r="DM44" i="4"/>
  <c r="DM72" i="4" s="1"/>
  <c r="CG44" i="4"/>
  <c r="CG72" i="4" s="1"/>
  <c r="CJ22" i="4"/>
  <c r="EE28" i="4"/>
  <c r="EU28" i="4"/>
  <c r="I100" i="6"/>
  <c r="CU39" i="4"/>
  <c r="BM8" i="4"/>
  <c r="DA45" i="4"/>
  <c r="BR32" i="4"/>
  <c r="E100" i="6"/>
  <c r="CT65" i="4"/>
  <c r="CH32" i="4"/>
  <c r="CT60" i="4"/>
  <c r="EP60" i="4"/>
  <c r="DJ60" i="4"/>
  <c r="EQ31" i="4"/>
  <c r="CU31" i="4"/>
  <c r="EA31" i="4"/>
  <c r="BO31" i="4"/>
  <c r="CE31" i="4"/>
  <c r="DK31" i="4"/>
  <c r="CC56" i="4"/>
  <c r="EO56" i="4"/>
  <c r="EV60" i="4"/>
  <c r="CZ60" i="4"/>
  <c r="BT60" i="4"/>
  <c r="EF60" i="4"/>
  <c r="DP60" i="4"/>
  <c r="CJ60" i="4"/>
  <c r="EO12" i="4"/>
  <c r="CS12" i="4"/>
  <c r="DI12" i="4"/>
  <c r="DY12" i="4"/>
  <c r="BM12" i="4"/>
  <c r="CQ34" i="4"/>
  <c r="DG34" i="4"/>
  <c r="CA34" i="4"/>
  <c r="EM34" i="4"/>
  <c r="BK34" i="4"/>
  <c r="DW34" i="4"/>
  <c r="DA56" i="4"/>
  <c r="CK56" i="4"/>
  <c r="DQ56" i="4"/>
  <c r="CR31" i="4"/>
  <c r="DH31" i="4"/>
  <c r="EN31" i="4"/>
  <c r="EC34" i="4"/>
  <c r="DM34" i="4"/>
  <c r="BQ34" i="4"/>
  <c r="CW34" i="4"/>
  <c r="ES34" i="4"/>
  <c r="CG34" i="4"/>
  <c r="DM56" i="4"/>
  <c r="CW56" i="4"/>
  <c r="CG56" i="4"/>
  <c r="ES56" i="4"/>
  <c r="EC56" i="4"/>
  <c r="BQ56" i="4"/>
  <c r="BJ27" i="4"/>
  <c r="DV27" i="4"/>
  <c r="CP27" i="4"/>
  <c r="BZ27" i="4"/>
  <c r="DF27" i="4"/>
  <c r="EL27" i="4"/>
  <c r="BP51" i="4"/>
  <c r="CV51" i="4"/>
  <c r="DH33" i="4"/>
  <c r="EN33" i="4"/>
  <c r="CB33" i="4"/>
  <c r="DX33" i="4"/>
  <c r="CR33" i="4"/>
  <c r="BL33" i="4"/>
  <c r="CK39" i="4"/>
  <c r="BU39" i="4"/>
  <c r="EW39" i="4"/>
  <c r="DA39" i="4"/>
  <c r="EG39" i="4"/>
  <c r="DQ39" i="4"/>
  <c r="DI38" i="4"/>
  <c r="CS38" i="4"/>
  <c r="DY38" i="4"/>
  <c r="EO38" i="4"/>
  <c r="BM38" i="4"/>
  <c r="CC38" i="4"/>
  <c r="BN38" i="4"/>
  <c r="EP38" i="4"/>
  <c r="EC30" i="4"/>
  <c r="CW30" i="4"/>
  <c r="CG30" i="4"/>
  <c r="BQ30" i="4"/>
  <c r="ES30" i="4"/>
  <c r="DM30" i="4"/>
  <c r="DF39" i="4"/>
  <c r="BJ39" i="4"/>
  <c r="EL39" i="4"/>
  <c r="CP39" i="4"/>
  <c r="DV39" i="4"/>
  <c r="BZ39" i="4"/>
  <c r="CC22" i="4"/>
  <c r="DY22" i="4"/>
  <c r="BM22" i="4"/>
  <c r="EO22" i="4"/>
  <c r="DO39" i="4"/>
  <c r="BS39" i="4"/>
  <c r="CI39" i="4"/>
  <c r="EU39" i="4"/>
  <c r="EE39" i="4"/>
  <c r="CR16" i="4"/>
  <c r="DH16" i="4"/>
  <c r="BN51" i="4"/>
  <c r="CD51" i="4"/>
  <c r="EP51" i="4"/>
  <c r="CT51" i="4"/>
  <c r="EP32" i="4"/>
  <c r="CT32" i="4"/>
  <c r="CD32" i="4"/>
  <c r="DJ32" i="4"/>
  <c r="BN32" i="4"/>
  <c r="DZ32" i="4"/>
  <c r="EA26" i="4"/>
  <c r="BO26" i="4"/>
  <c r="CE26" i="4"/>
  <c r="DK26" i="4"/>
  <c r="CU26" i="4"/>
  <c r="EQ26" i="4"/>
  <c r="DL66" i="4"/>
  <c r="BP66" i="4"/>
  <c r="ER66" i="4"/>
  <c r="CV66" i="4"/>
  <c r="CF66" i="4"/>
  <c r="EB66" i="4"/>
  <c r="CI22" i="4"/>
  <c r="EE22" i="4"/>
  <c r="DM21" i="4"/>
  <c r="CG21" i="4"/>
  <c r="CE44" i="4"/>
  <c r="CE72" i="4" s="1"/>
  <c r="BO44" i="4"/>
  <c r="BO72" i="4" s="1"/>
  <c r="EF17" i="4"/>
  <c r="CJ17" i="4"/>
  <c r="BT17" i="4"/>
  <c r="EV17" i="4"/>
  <c r="CZ17" i="4"/>
  <c r="DP17" i="4"/>
  <c r="EM22" i="4"/>
  <c r="DW22" i="4"/>
  <c r="BK22" i="4"/>
  <c r="DG22" i="4"/>
  <c r="CA22" i="4"/>
  <c r="CQ22" i="4"/>
  <c r="DP46" i="4"/>
  <c r="CJ46" i="4"/>
  <c r="EF46" i="4"/>
  <c r="CZ46" i="4"/>
  <c r="EV46" i="4"/>
  <c r="ED43" i="4"/>
  <c r="DN43" i="4"/>
  <c r="ET43" i="4"/>
  <c r="BR43" i="4"/>
  <c r="CX43" i="4"/>
  <c r="CH43" i="4"/>
  <c r="CQ65" i="4"/>
  <c r="BK65" i="4"/>
  <c r="EM65" i="4"/>
  <c r="ES38" i="4"/>
  <c r="CG38" i="4"/>
  <c r="DY60" i="4"/>
  <c r="EO60" i="4"/>
  <c r="CC60" i="4"/>
  <c r="EG17" i="4"/>
  <c r="DA17" i="4"/>
  <c r="EW17" i="4"/>
  <c r="BU17" i="4"/>
  <c r="DH51" i="4"/>
  <c r="CR51" i="4"/>
  <c r="BL51" i="4"/>
  <c r="EN51" i="4"/>
  <c r="CV27" i="4"/>
  <c r="ER27" i="4"/>
  <c r="DL27" i="4"/>
  <c r="DQ51" i="4"/>
  <c r="EW51" i="4"/>
  <c r="DA51" i="4"/>
  <c r="CK51" i="4"/>
  <c r="BU51" i="4"/>
  <c r="EG51" i="4"/>
  <c r="EB61" i="4"/>
  <c r="CF61" i="4"/>
  <c r="CV61" i="4"/>
  <c r="BP61" i="4"/>
  <c r="BR51" i="4"/>
  <c r="CH51" i="4"/>
  <c r="CX51" i="4"/>
  <c r="ET51" i="4"/>
  <c r="DN51" i="4"/>
  <c r="ED51" i="4"/>
  <c r="DH27" i="4"/>
  <c r="BL27" i="4"/>
  <c r="DP39" i="4"/>
  <c r="EV39" i="4"/>
  <c r="CZ39" i="4"/>
  <c r="BT39" i="4"/>
  <c r="EF39" i="4"/>
  <c r="CJ39" i="4"/>
  <c r="DA12" i="4"/>
  <c r="BU12" i="4"/>
  <c r="EG12" i="4"/>
  <c r="EW12" i="4"/>
  <c r="DQ12" i="4"/>
  <c r="CV34" i="4"/>
  <c r="EB34" i="4"/>
  <c r="DW44" i="4"/>
  <c r="DW72" i="4" s="1"/>
  <c r="BK44" i="4"/>
  <c r="BK72" i="4" s="1"/>
  <c r="CA44" i="4"/>
  <c r="CA72" i="4" s="1"/>
  <c r="AU72" i="4"/>
  <c r="EM44" i="4"/>
  <c r="EM72" i="4" s="1"/>
  <c r="DG44" i="4"/>
  <c r="DG72" i="4" s="1"/>
  <c r="CQ44" i="4"/>
  <c r="CQ72" i="4" s="1"/>
  <c r="BT55" i="4"/>
  <c r="CZ55" i="4"/>
  <c r="DX66" i="4"/>
  <c r="DH66" i="4"/>
  <c r="BL66" i="4"/>
  <c r="CR66" i="4"/>
  <c r="EN66" i="4"/>
  <c r="CB66" i="4"/>
  <c r="DK38" i="4"/>
  <c r="EA38" i="4"/>
  <c r="CU38" i="4"/>
  <c r="BZ29" i="4"/>
  <c r="DV29" i="4"/>
  <c r="BJ29" i="4"/>
  <c r="DF29" i="4"/>
  <c r="CP29" i="4"/>
  <c r="EL29" i="4"/>
  <c r="DJ61" i="4"/>
  <c r="CT61" i="4"/>
  <c r="CD61" i="4"/>
  <c r="EP61" i="4"/>
  <c r="DZ61" i="4"/>
  <c r="BN61" i="4"/>
  <c r="DK66" i="4"/>
  <c r="CE66" i="4"/>
  <c r="EA66" i="4"/>
  <c r="EQ66" i="4"/>
  <c r="BO66" i="4"/>
  <c r="CU66" i="4"/>
  <c r="DH44" i="4"/>
  <c r="DH72" i="4" s="1"/>
  <c r="CR44" i="4"/>
  <c r="CR72" i="4" s="1"/>
  <c r="BL44" i="4"/>
  <c r="BL72" i="4" s="1"/>
  <c r="DX44" i="4"/>
  <c r="DX72" i="4" s="1"/>
  <c r="EN28" i="4"/>
  <c r="DX28" i="4"/>
  <c r="BL28" i="4"/>
  <c r="CB28" i="4"/>
  <c r="CP50" i="4"/>
  <c r="BZ50" i="4"/>
  <c r="CD44" i="4"/>
  <c r="CD72" i="4" s="1"/>
  <c r="BN44" i="4"/>
  <c r="BN72" i="4" s="1"/>
  <c r="DJ44" i="4"/>
  <c r="DJ72" i="4" s="1"/>
  <c r="BO29" i="4"/>
  <c r="EQ29" i="4"/>
  <c r="EV51" i="4"/>
  <c r="EF51" i="4"/>
  <c r="CW16" i="4"/>
  <c r="EC16" i="4"/>
  <c r="ES16" i="4"/>
  <c r="BU30" i="4"/>
  <c r="EW30" i="4"/>
  <c r="CK30" i="4"/>
  <c r="EG30" i="4"/>
  <c r="DA30" i="4"/>
  <c r="DQ30" i="4"/>
  <c r="EW38" i="4"/>
  <c r="DA38" i="4"/>
  <c r="BU38" i="4"/>
  <c r="DQ38" i="4"/>
  <c r="DL65" i="4"/>
  <c r="CF65" i="4"/>
  <c r="EB65" i="4"/>
  <c r="EW60" i="4"/>
  <c r="CK60" i="4"/>
  <c r="CC46" i="4"/>
  <c r="BM46" i="4"/>
  <c r="CS46" i="4"/>
  <c r="DI66" i="4"/>
  <c r="CC66" i="4"/>
  <c r="DY66" i="4"/>
  <c r="CS66" i="4"/>
  <c r="EF29" i="4"/>
  <c r="DP29" i="4"/>
  <c r="EL17" i="4"/>
  <c r="DF17" i="4"/>
  <c r="DV17" i="4"/>
  <c r="CP17" i="4"/>
  <c r="BZ17" i="4"/>
  <c r="BJ17" i="4"/>
  <c r="DG33" i="4"/>
  <c r="CA33" i="4"/>
  <c r="EL44" i="4"/>
  <c r="EL72" i="4" s="1"/>
  <c r="BZ44" i="4"/>
  <c r="BZ72" i="4" s="1"/>
  <c r="CT33" i="4"/>
  <c r="CD33" i="4"/>
  <c r="DZ33" i="4"/>
  <c r="DW27" i="4"/>
  <c r="CA27" i="4"/>
  <c r="CQ27" i="4"/>
  <c r="DG27" i="4"/>
  <c r="EM27" i="4"/>
  <c r="BK27" i="4"/>
  <c r="EB39" i="4"/>
  <c r="CV39" i="4"/>
  <c r="ER39" i="4"/>
  <c r="CF39" i="4"/>
  <c r="DL39" i="4"/>
  <c r="BP39" i="4"/>
  <c r="DH61" i="4"/>
  <c r="DX61" i="4"/>
  <c r="EN61" i="4"/>
  <c r="BL61" i="4"/>
  <c r="CR61" i="4"/>
  <c r="CB61" i="4"/>
  <c r="DP33" i="4"/>
  <c r="EV33" i="4"/>
  <c r="EF33" i="4"/>
  <c r="CJ33" i="4"/>
  <c r="BT33" i="4"/>
  <c r="CZ33" i="4"/>
  <c r="CK65" i="4"/>
  <c r="BU65" i="4"/>
  <c r="EG65" i="4"/>
  <c r="DQ65" i="4"/>
  <c r="BO65" i="4"/>
  <c r="DK65" i="4"/>
  <c r="CU65" i="4"/>
  <c r="EA65" i="4"/>
  <c r="EQ65" i="4"/>
  <c r="CE65" i="4"/>
  <c r="BD74" i="4"/>
  <c r="BT34" i="4"/>
  <c r="DP34" i="4"/>
  <c r="EV38" i="4"/>
  <c r="DP38" i="4"/>
  <c r="CS31" i="4"/>
  <c r="CC31" i="4"/>
  <c r="BR39" i="4"/>
  <c r="CH39" i="4"/>
  <c r="ET39" i="4"/>
  <c r="ED39" i="4"/>
  <c r="DN39" i="4"/>
  <c r="CX39" i="4"/>
  <c r="BK30" i="4"/>
  <c r="CA30" i="4"/>
  <c r="BK46" i="4"/>
  <c r="CQ46" i="4"/>
  <c r="EM46" i="4"/>
  <c r="EL38" i="4"/>
  <c r="CP38" i="4"/>
  <c r="BJ38" i="4"/>
  <c r="DF38" i="4"/>
  <c r="DV38" i="4"/>
  <c r="BZ38" i="4"/>
  <c r="EQ46" i="4"/>
  <c r="DK46" i="4"/>
  <c r="BO46" i="4"/>
  <c r="CE46" i="4"/>
  <c r="CU46" i="4"/>
  <c r="EA46" i="4"/>
  <c r="EO28" i="4"/>
  <c r="DI28" i="4"/>
  <c r="BM28" i="4"/>
  <c r="CC28" i="4"/>
  <c r="CS28" i="4"/>
  <c r="DY28" i="4"/>
  <c r="EF44" i="4"/>
  <c r="EF72" i="4" s="1"/>
  <c r="CJ44" i="4"/>
  <c r="CJ72" i="4" s="1"/>
  <c r="DJ28" i="4"/>
  <c r="EP28" i="4"/>
  <c r="DZ28" i="4"/>
  <c r="BN28" i="4"/>
  <c r="CT28" i="4"/>
  <c r="CD28" i="4"/>
  <c r="DX8" i="4"/>
  <c r="DH8" i="4"/>
  <c r="CB8" i="4"/>
  <c r="CQ26" i="4"/>
  <c r="DW26" i="4"/>
  <c r="DG26" i="4"/>
  <c r="BK26" i="4"/>
  <c r="EM26" i="4"/>
  <c r="CA26" i="4"/>
  <c r="DI30" i="4"/>
  <c r="DY30" i="4"/>
  <c r="CC30" i="4"/>
  <c r="BO12" i="4"/>
  <c r="DK12" i="4"/>
  <c r="CU12" i="4"/>
  <c r="CE55" i="4"/>
  <c r="DK55" i="4"/>
  <c r="CU55" i="4"/>
  <c r="ER28" i="4"/>
  <c r="BP28" i="4"/>
  <c r="CF28" i="4"/>
  <c r="CV28" i="4"/>
  <c r="DL28" i="4"/>
  <c r="EB28" i="4"/>
  <c r="ES32" i="4"/>
  <c r="BQ32" i="4"/>
  <c r="EC32" i="4"/>
  <c r="DM32" i="4"/>
  <c r="CG32" i="4"/>
  <c r="CW32" i="4"/>
  <c r="CY27" i="4"/>
  <c r="EE27" i="4"/>
  <c r="EU27" i="4"/>
  <c r="CJ65" i="4"/>
  <c r="BT65" i="4"/>
  <c r="DP65" i="4"/>
  <c r="EF65" i="4"/>
  <c r="EV65" i="4"/>
  <c r="CZ65" i="4"/>
  <c r="J95" i="6"/>
  <c r="BT46" i="4"/>
  <c r="CS22" i="4"/>
  <c r="DJ51" i="4"/>
  <c r="EP34" i="4"/>
  <c r="AT74" i="4"/>
  <c r="CG33" i="4"/>
  <c r="EN26" i="4"/>
  <c r="EW29" i="4"/>
  <c r="BL31" i="4"/>
  <c r="DK44" i="4"/>
  <c r="DK72" i="4" s="1"/>
  <c r="BN60" i="4"/>
  <c r="CS29" i="4"/>
  <c r="BU56" i="4"/>
  <c r="DA8" i="4"/>
  <c r="EQ44" i="4"/>
  <c r="EQ72" i="4" s="1"/>
  <c r="BS26" i="4"/>
  <c r="DY56" i="4"/>
  <c r="AS34" i="4"/>
  <c r="DX31" i="4"/>
  <c r="DA43" i="4"/>
  <c r="CD16" i="4"/>
  <c r="DL51" i="4"/>
  <c r="EE26" i="4"/>
  <c r="CI66" i="4"/>
  <c r="ES21" i="4"/>
  <c r="AX73" i="4"/>
  <c r="H100" i="6"/>
  <c r="DI22" i="4"/>
  <c r="CY39" i="4"/>
  <c r="DL61" i="4"/>
  <c r="DZ51" i="4"/>
  <c r="DH45" i="4"/>
  <c r="DJ34" i="4"/>
  <c r="DZ34" i="4"/>
  <c r="DX27" i="4"/>
  <c r="BJ65" i="4"/>
  <c r="BU55" i="4"/>
  <c r="EG55" i="4"/>
  <c r="DL43" i="4"/>
  <c r="EB43" i="4"/>
  <c r="EF26" i="4"/>
  <c r="BO60" i="4"/>
  <c r="DH26" i="4"/>
  <c r="EG29" i="4"/>
  <c r="C100" i="6"/>
  <c r="BP30" i="4"/>
  <c r="CK8" i="4"/>
  <c r="EE66" i="4"/>
  <c r="CI26" i="4"/>
  <c r="DJ8" i="4"/>
  <c r="CE29" i="4"/>
  <c r="ER65" i="4"/>
  <c r="CW38" i="4"/>
  <c r="CK17" i="4"/>
  <c r="CY22" i="4"/>
  <c r="CB44" i="4"/>
  <c r="CB72" i="4" s="1"/>
  <c r="EW56" i="4"/>
  <c r="DF50" i="4"/>
  <c r="BA71" i="4"/>
  <c r="EC29" i="4"/>
  <c r="DZ38" i="4"/>
  <c r="EG8" i="4"/>
  <c r="ET22" i="4"/>
  <c r="DL30" i="4"/>
  <c r="BQ61" i="4"/>
  <c r="DK29" i="4"/>
  <c r="EA44" i="4"/>
  <c r="EA72" i="4" s="1"/>
  <c r="DL34" i="4"/>
  <c r="DI34" i="4"/>
  <c r="ES61" i="4"/>
  <c r="AW74" i="4"/>
  <c r="CX27" i="4"/>
  <c r="AS51" i="4"/>
  <c r="BS66" i="4"/>
  <c r="CX46" i="4"/>
  <c r="BA73" i="4"/>
  <c r="EN16" i="4"/>
  <c r="CR28" i="4"/>
  <c r="DW65" i="4"/>
  <c r="ER51" i="4"/>
  <c r="EF55" i="4"/>
  <c r="EE50" i="4"/>
  <c r="EU26" i="4"/>
  <c r="CB38" i="4"/>
  <c r="DN27" i="4"/>
  <c r="EU66" i="4"/>
  <c r="D100" i="6"/>
  <c r="F100" i="6"/>
  <c r="DY29" i="4"/>
  <c r="DI29" i="4"/>
  <c r="CC29" i="4"/>
  <c r="CI30" i="4"/>
  <c r="CY30" i="4"/>
  <c r="BS30" i="4"/>
  <c r="EU30" i="4"/>
  <c r="DG32" i="4"/>
  <c r="DW32" i="4"/>
  <c r="CA32" i="4"/>
  <c r="EM32" i="4"/>
  <c r="BK32" i="4"/>
  <c r="CQ32" i="4"/>
  <c r="BQ33" i="4"/>
  <c r="ES33" i="4"/>
  <c r="DF12" i="4"/>
  <c r="BJ12" i="4"/>
  <c r="DV12" i="4"/>
  <c r="EL12" i="4"/>
  <c r="DQ26" i="4"/>
  <c r="EG26" i="4"/>
  <c r="BU26" i="4"/>
  <c r="DZ16" i="4"/>
  <c r="EP16" i="4"/>
  <c r="CT16" i="4"/>
  <c r="F27" i="11"/>
  <c r="CY60" i="4"/>
  <c r="EE60" i="4"/>
  <c r="BZ32" i="4"/>
  <c r="BJ32" i="4"/>
  <c r="CG27" i="4"/>
  <c r="BQ27" i="4"/>
  <c r="EC27" i="4"/>
  <c r="ES27" i="4"/>
  <c r="CW27" i="4"/>
  <c r="DM27" i="4"/>
  <c r="CV17" i="4"/>
  <c r="ER17" i="4"/>
  <c r="EB17" i="4"/>
  <c r="CF17" i="4"/>
  <c r="DL17" i="4"/>
  <c r="BP17" i="4"/>
  <c r="BU43" i="4"/>
  <c r="EW43" i="4"/>
  <c r="CD8" i="4"/>
  <c r="CT8" i="4"/>
  <c r="DW50" i="4"/>
  <c r="DG50" i="4"/>
  <c r="DN28" i="4"/>
  <c r="ET28" i="4"/>
  <c r="BR28" i="4"/>
  <c r="ED28" i="4"/>
  <c r="CF33" i="4"/>
  <c r="CV33" i="4"/>
  <c r="DL33" i="4"/>
  <c r="ER33" i="4"/>
  <c r="BQ8" i="4"/>
  <c r="ES8" i="4"/>
  <c r="CG8" i="4"/>
  <c r="CW8" i="4"/>
  <c r="EC8" i="4"/>
  <c r="DM8" i="4"/>
  <c r="CE34" i="4"/>
  <c r="BO34" i="4"/>
  <c r="DK34" i="4"/>
  <c r="EQ34" i="4"/>
  <c r="CU34" i="4"/>
  <c r="EA34" i="4"/>
  <c r="EA61" i="4"/>
  <c r="EQ61" i="4"/>
  <c r="DK61" i="4"/>
  <c r="CU61" i="4"/>
  <c r="CE61" i="4"/>
  <c r="BO61" i="4"/>
  <c r="CS33" i="4"/>
  <c r="EO33" i="4"/>
  <c r="DO29" i="4"/>
  <c r="EU29" i="4"/>
  <c r="CX66" i="4"/>
  <c r="CH66" i="4"/>
  <c r="DN66" i="4"/>
  <c r="DM28" i="4"/>
  <c r="EC28" i="4"/>
  <c r="CG28" i="4"/>
  <c r="BQ28" i="4"/>
  <c r="ES28" i="4"/>
  <c r="CW28" i="4"/>
  <c r="EQ45" i="4"/>
  <c r="BO45" i="4"/>
  <c r="DK45" i="4"/>
  <c r="DG29" i="4"/>
  <c r="EM29" i="4"/>
  <c r="CA29" i="4"/>
  <c r="CQ29" i="4"/>
  <c r="DW29" i="4"/>
  <c r="BK29" i="4"/>
  <c r="DQ28" i="4"/>
  <c r="BU28" i="4"/>
  <c r="BZ33" i="4"/>
  <c r="DV33" i="4"/>
  <c r="CP33" i="4"/>
  <c r="BJ33" i="4"/>
  <c r="DF33" i="4"/>
  <c r="EL33" i="4"/>
  <c r="ER60" i="4"/>
  <c r="BP60" i="4"/>
  <c r="ED31" i="4"/>
  <c r="DN31" i="4"/>
  <c r="CX31" i="4"/>
  <c r="CH31" i="4"/>
  <c r="BR31" i="4"/>
  <c r="ET31" i="4"/>
  <c r="EO55" i="4"/>
  <c r="CC55" i="4"/>
  <c r="DP12" i="4"/>
  <c r="EF12" i="4"/>
  <c r="DQ34" i="4"/>
  <c r="CK34" i="4"/>
  <c r="DA34" i="4"/>
  <c r="EW66" i="4"/>
  <c r="BU66" i="4"/>
  <c r="EG66" i="4"/>
  <c r="CH30" i="4"/>
  <c r="DN30" i="4"/>
  <c r="ED30" i="4"/>
  <c r="EP39" i="4"/>
  <c r="DZ39" i="4"/>
  <c r="DJ39" i="4"/>
  <c r="CD39" i="4"/>
  <c r="CT39" i="4"/>
  <c r="BN39" i="4"/>
  <c r="CY56" i="4"/>
  <c r="EU56" i="4"/>
  <c r="CI56" i="4"/>
  <c r="EE56" i="4"/>
  <c r="BS56" i="4"/>
  <c r="DO56" i="4"/>
  <c r="DV66" i="4"/>
  <c r="EL66" i="4"/>
  <c r="CD66" i="4"/>
  <c r="CT66" i="4"/>
  <c r="DZ66" i="4"/>
  <c r="BN66" i="4"/>
  <c r="EP66" i="4"/>
  <c r="DJ66" i="4"/>
  <c r="EL61" i="4"/>
  <c r="BJ61" i="4"/>
  <c r="CP61" i="4"/>
  <c r="DH17" i="4"/>
  <c r="DX17" i="4"/>
  <c r="DV60" i="4"/>
  <c r="CP60" i="4"/>
  <c r="CH55" i="4"/>
  <c r="BR55" i="4"/>
  <c r="CJ30" i="4"/>
  <c r="DP30" i="4"/>
  <c r="EF30" i="4"/>
  <c r="EV30" i="4"/>
  <c r="CZ30" i="4"/>
  <c r="BT30" i="4"/>
  <c r="BM39" i="4"/>
  <c r="EO39" i="4"/>
  <c r="DI39" i="4"/>
  <c r="DY39" i="4"/>
  <c r="EU45" i="4"/>
  <c r="BS45" i="4"/>
  <c r="EW46" i="4"/>
  <c r="CK46" i="4"/>
  <c r="BU46" i="4"/>
  <c r="DQ46" i="4"/>
  <c r="CE28" i="4"/>
  <c r="DK28" i="4"/>
  <c r="BO28" i="4"/>
  <c r="AY73" i="4"/>
  <c r="DK22" i="4"/>
  <c r="DW28" i="4"/>
  <c r="DG28" i="4"/>
  <c r="EM28" i="4"/>
  <c r="BK28" i="4"/>
  <c r="CQ28" i="4"/>
  <c r="CP55" i="4"/>
  <c r="BJ55" i="4"/>
  <c r="DV55" i="4"/>
  <c r="BZ55" i="4"/>
  <c r="DF55" i="4"/>
  <c r="EL55" i="4"/>
  <c r="BN56" i="4"/>
  <c r="CD56" i="4"/>
  <c r="EP56" i="4"/>
  <c r="CT56" i="4"/>
  <c r="DJ56" i="4"/>
  <c r="DZ56" i="4"/>
  <c r="EB22" i="4"/>
  <c r="BP22" i="4"/>
  <c r="CF22" i="4"/>
  <c r="CV22" i="4"/>
  <c r="ER22" i="4"/>
  <c r="DL22" i="4"/>
  <c r="DY26" i="4"/>
  <c r="BM26" i="4"/>
  <c r="BL46" i="4"/>
  <c r="EN46" i="4"/>
  <c r="BZ51" i="4"/>
  <c r="CP51" i="4"/>
  <c r="DF51" i="4"/>
  <c r="EL51" i="4"/>
  <c r="DV51" i="4"/>
  <c r="BJ51" i="4"/>
  <c r="DO46" i="4"/>
  <c r="EE46" i="4"/>
  <c r="CY46" i="4"/>
  <c r="BS46" i="4"/>
  <c r="BO21" i="4"/>
  <c r="DK21" i="4"/>
  <c r="CE21" i="4"/>
  <c r="EC60" i="4"/>
  <c r="CW60" i="4"/>
  <c r="DG61" i="4"/>
  <c r="CA61" i="4"/>
  <c r="ET60" i="4"/>
  <c r="CH60" i="4"/>
  <c r="DN60" i="4"/>
  <c r="ES39" i="4"/>
  <c r="CG39" i="4"/>
  <c r="EC39" i="4"/>
  <c r="CW39" i="4"/>
  <c r="BQ39" i="4"/>
  <c r="DM39" i="4"/>
  <c r="CI32" i="4"/>
  <c r="BS32" i="4"/>
  <c r="EV61" i="4"/>
  <c r="CJ61" i="4"/>
  <c r="CZ61" i="4"/>
  <c r="BT61" i="4"/>
  <c r="BO43" i="4"/>
  <c r="EA43" i="4"/>
  <c r="CU43" i="4"/>
  <c r="BO32" i="4"/>
  <c r="CE32" i="4"/>
  <c r="EA32" i="4"/>
  <c r="EQ32" i="4"/>
  <c r="CU32" i="4"/>
  <c r="DK32" i="4"/>
  <c r="DP32" i="4"/>
  <c r="CZ32" i="4"/>
  <c r="EF32" i="4"/>
  <c r="BT32" i="4"/>
  <c r="EQ60" i="4"/>
  <c r="DI50" i="4"/>
  <c r="EB51" i="4"/>
  <c r="BR27" i="4"/>
  <c r="BL16" i="4"/>
  <c r="BS22" i="4"/>
  <c r="CF30" i="4"/>
  <c r="BM34" i="4"/>
  <c r="CS56" i="4"/>
  <c r="DX16" i="4"/>
  <c r="AU74" i="4"/>
  <c r="CK26" i="4"/>
  <c r="CA65" i="4"/>
  <c r="ET27" i="4"/>
  <c r="BP33" i="4"/>
  <c r="ET66" i="4"/>
  <c r="BK50" i="4"/>
  <c r="CD34" i="4"/>
  <c r="BN34" i="4"/>
  <c r="CB27" i="4"/>
  <c r="AS8" i="4"/>
  <c r="DF65" i="4"/>
  <c r="CZ26" i="4"/>
  <c r="AV71" i="4"/>
  <c r="CK29" i="4"/>
  <c r="AS45" i="4"/>
  <c r="BE71" i="4"/>
  <c r="AS43" i="4"/>
  <c r="CT38" i="4"/>
  <c r="CP32" i="4"/>
  <c r="BL38" i="4"/>
  <c r="CU44" i="4"/>
  <c r="CU72" i="4" s="1"/>
  <c r="EC61" i="4"/>
  <c r="BM56" i="4"/>
  <c r="CI60" i="4"/>
  <c r="BN8" i="4"/>
  <c r="CT44" i="4"/>
  <c r="CT72" i="4" s="1"/>
  <c r="CH27" i="4"/>
  <c r="BD73" i="4"/>
  <c r="DA26" i="4"/>
  <c r="CX22" i="4"/>
  <c r="DY33" i="4"/>
  <c r="DY34" i="4"/>
  <c r="EA29" i="4"/>
  <c r="CV65" i="4"/>
  <c r="DZ60" i="4"/>
  <c r="DM38" i="4"/>
  <c r="BM29" i="4"/>
  <c r="DQ17" i="4"/>
  <c r="EU22" i="4"/>
  <c r="CB51" i="4"/>
  <c r="DM16" i="4"/>
  <c r="CG29" i="4"/>
  <c r="DJ38" i="4"/>
  <c r="EW8" i="4"/>
  <c r="BR22" i="4"/>
  <c r="EB30" i="4"/>
  <c r="DM26" i="4"/>
  <c r="CW61" i="4"/>
  <c r="CZ51" i="4"/>
  <c r="EO34" i="4"/>
  <c r="DV32" i="4"/>
  <c r="DA28" i="4"/>
  <c r="BP27" i="4"/>
  <c r="ED46" i="4"/>
  <c r="DN46" i="4"/>
  <c r="BC73" i="4"/>
  <c r="DP55" i="4"/>
  <c r="DO60" i="4"/>
  <c r="EP8" i="4"/>
  <c r="BQ29" i="4"/>
  <c r="DM33" i="4"/>
  <c r="AZ74" i="4"/>
  <c r="CG26" i="4"/>
  <c r="EU60" i="4"/>
  <c r="EP44" i="4"/>
  <c r="EP72" i="4" s="1"/>
  <c r="BM60" i="4"/>
  <c r="DQ43" i="4"/>
  <c r="CX28" i="4"/>
  <c r="DG65" i="4"/>
  <c r="EE29" i="4"/>
  <c r="CF34" i="4"/>
  <c r="DO66" i="4"/>
  <c r="BQ21" i="4"/>
  <c r="AV74" i="4"/>
  <c r="EP55" i="4"/>
  <c r="DJ55" i="4"/>
  <c r="CD55" i="4"/>
  <c r="DZ55" i="4"/>
  <c r="CT55" i="4"/>
  <c r="BN55" i="4"/>
  <c r="BN21" i="4"/>
  <c r="DJ21" i="4"/>
  <c r="CD21" i="4"/>
  <c r="EP21" i="4"/>
  <c r="DZ21" i="4"/>
  <c r="CT21" i="4"/>
  <c r="AX71" i="4"/>
  <c r="EE43" i="4"/>
  <c r="CI43" i="4"/>
  <c r="EU43" i="4"/>
  <c r="CY43" i="4"/>
  <c r="BS43" i="4"/>
  <c r="DO43" i="4"/>
  <c r="CC65" i="4"/>
  <c r="EO65" i="4"/>
  <c r="DI65" i="4"/>
  <c r="DY65" i="4"/>
  <c r="CS65" i="4"/>
  <c r="BM65" i="4"/>
  <c r="DW38" i="4"/>
  <c r="CA38" i="4"/>
  <c r="BK38" i="4"/>
  <c r="DG38" i="4"/>
  <c r="CQ38" i="4"/>
  <c r="EM38" i="4"/>
  <c r="DL16" i="4"/>
  <c r="EB16" i="4"/>
  <c r="CV16" i="4"/>
  <c r="ER16" i="4"/>
  <c r="BP16" i="4"/>
  <c r="CF16" i="4"/>
  <c r="CX29" i="4"/>
  <c r="DN29" i="4"/>
  <c r="ED29" i="4"/>
  <c r="CH29" i="4"/>
  <c r="ET29" i="4"/>
  <c r="BR29" i="4"/>
  <c r="EW27" i="4"/>
  <c r="BU27" i="4"/>
  <c r="DA27" i="4"/>
  <c r="EG27" i="4"/>
  <c r="DQ27" i="4"/>
  <c r="CK27" i="4"/>
  <c r="DK50" i="4"/>
  <c r="EA50" i="4"/>
  <c r="CU50" i="4"/>
  <c r="EQ50" i="4"/>
  <c r="BO50" i="4"/>
  <c r="CE50" i="4"/>
  <c r="EV43" i="4"/>
  <c r="EF43" i="4"/>
  <c r="BT43" i="4"/>
  <c r="CJ43" i="4"/>
  <c r="DP43" i="4"/>
  <c r="CZ43" i="4"/>
  <c r="BN26" i="4"/>
  <c r="DZ26" i="4"/>
  <c r="CD26" i="4"/>
  <c r="CT26" i="4"/>
  <c r="EP26" i="4"/>
  <c r="DJ26" i="4"/>
  <c r="BJ21" i="4"/>
  <c r="BZ21" i="4"/>
  <c r="CP21" i="4"/>
  <c r="DV21" i="4"/>
  <c r="EL21" i="4"/>
  <c r="DF21" i="4"/>
  <c r="AS55" i="4"/>
  <c r="CE16" i="4"/>
  <c r="CY38" i="4"/>
  <c r="DO38" i="4"/>
  <c r="BO16" i="4"/>
  <c r="DK60" i="4"/>
  <c r="EA60" i="4"/>
  <c r="CR26" i="4"/>
  <c r="DX26" i="4"/>
  <c r="CC50" i="4"/>
  <c r="CS50" i="4"/>
  <c r="BU29" i="4"/>
  <c r="DQ29" i="4"/>
  <c r="DQ50" i="4"/>
  <c r="DA50" i="4"/>
  <c r="EW50" i="4"/>
  <c r="EG50" i="4"/>
  <c r="CK50" i="4"/>
  <c r="BU50" i="4"/>
  <c r="BN27" i="4"/>
  <c r="DJ27" i="4"/>
  <c r="EP27" i="4"/>
  <c r="CT27" i="4"/>
  <c r="DZ27" i="4"/>
  <c r="CD27" i="4"/>
  <c r="DL26" i="4"/>
  <c r="CV26" i="4"/>
  <c r="CF26" i="4"/>
  <c r="EB26" i="4"/>
  <c r="ER26" i="4"/>
  <c r="BP26" i="4"/>
  <c r="CQ60" i="4"/>
  <c r="BK60" i="4"/>
  <c r="DG60" i="4"/>
  <c r="DW60" i="4"/>
  <c r="CA60" i="4"/>
  <c r="EM60" i="4"/>
  <c r="BL43" i="4"/>
  <c r="CB43" i="4"/>
  <c r="CR43" i="4"/>
  <c r="EN43" i="4"/>
  <c r="DX43" i="4"/>
  <c r="DH43" i="4"/>
  <c r="EB29" i="4"/>
  <c r="CF29" i="4"/>
  <c r="BP29" i="4"/>
  <c r="ER29" i="4"/>
  <c r="DL29" i="4"/>
  <c r="CV29" i="4"/>
  <c r="ET16" i="4"/>
  <c r="ED16" i="4"/>
  <c r="BR16" i="4"/>
  <c r="CX16" i="4"/>
  <c r="CH16" i="4"/>
  <c r="DN16" i="4"/>
  <c r="BR21" i="4"/>
  <c r="ET21" i="4"/>
  <c r="DN21" i="4"/>
  <c r="CX21" i="4"/>
  <c r="CH21" i="4"/>
  <c r="ED21" i="4"/>
  <c r="BR50" i="4"/>
  <c r="CX50" i="4"/>
  <c r="ET50" i="4"/>
  <c r="ED50" i="4"/>
  <c r="DN50" i="4"/>
  <c r="CH50" i="4"/>
  <c r="DH21" i="4"/>
  <c r="CB21" i="4"/>
  <c r="CR21" i="4"/>
  <c r="EN21" i="4"/>
  <c r="DX21" i="4"/>
  <c r="BL21" i="4"/>
  <c r="CA43" i="4"/>
  <c r="EM43" i="4"/>
  <c r="CQ43" i="4"/>
  <c r="BK43" i="4"/>
  <c r="DG43" i="4"/>
  <c r="DW43" i="4"/>
  <c r="CD29" i="4"/>
  <c r="EP29" i="4"/>
  <c r="CT29" i="4"/>
  <c r="DJ29" i="4"/>
  <c r="DZ29" i="4"/>
  <c r="BN29" i="4"/>
  <c r="BT27" i="4"/>
  <c r="EF27" i="4"/>
  <c r="DP27" i="4"/>
  <c r="EV27" i="4"/>
  <c r="CZ27" i="4"/>
  <c r="CJ27" i="4"/>
  <c r="CX26" i="4"/>
  <c r="ET26" i="4"/>
  <c r="DN26" i="4"/>
  <c r="ED26" i="4"/>
  <c r="CH26" i="4"/>
  <c r="BR26" i="4"/>
  <c r="CW55" i="4"/>
  <c r="EC55" i="4"/>
  <c r="ES55" i="4"/>
  <c r="CG55" i="4"/>
  <c r="BQ55" i="4"/>
  <c r="DM55" i="4"/>
  <c r="DI43" i="4"/>
  <c r="CS43" i="4"/>
  <c r="DY43" i="4"/>
  <c r="BM43" i="4"/>
  <c r="EO43" i="4"/>
  <c r="CC43" i="4"/>
  <c r="BO27" i="4"/>
  <c r="DK27" i="4"/>
  <c r="EA27" i="4"/>
  <c r="CU27" i="4"/>
  <c r="CE27" i="4"/>
  <c r="EQ27" i="4"/>
  <c r="CV21" i="4"/>
  <c r="DL21" i="4"/>
  <c r="ER21" i="4"/>
  <c r="EB21" i="4"/>
  <c r="CF21" i="4"/>
  <c r="BP21" i="4"/>
  <c r="BB71" i="4"/>
  <c r="BC71" i="4"/>
  <c r="CI38" i="4"/>
  <c r="AY71" i="4"/>
  <c r="AS50" i="4"/>
  <c r="BS38" i="4"/>
  <c r="EA16" i="4"/>
  <c r="AS26" i="4"/>
  <c r="DY50" i="4"/>
  <c r="AS29" i="4"/>
  <c r="CV50" i="4"/>
  <c r="DL50" i="4"/>
  <c r="EB50" i="4"/>
  <c r="BP50" i="4"/>
  <c r="ER50" i="4"/>
  <c r="CF50" i="4"/>
  <c r="CS33" i="5"/>
  <c r="CS56" i="5"/>
  <c r="CS102" i="5"/>
  <c r="CS125" i="5"/>
  <c r="CS148" i="5"/>
  <c r="CS79" i="5"/>
  <c r="BB105" i="5"/>
  <c r="BB11" i="5" s="1"/>
  <c r="CM11" i="5" s="1"/>
  <c r="BA86" i="5"/>
  <c r="CS156" i="5"/>
  <c r="CS87" i="5"/>
  <c r="CS41" i="5"/>
  <c r="CS64" i="5"/>
  <c r="CS110" i="5"/>
  <c r="CS133" i="5"/>
  <c r="BA187" i="5"/>
  <c r="BD195" i="5"/>
  <c r="BD18" i="5" s="1"/>
  <c r="CO18" i="5" s="1"/>
  <c r="BK171" i="5"/>
  <c r="BK16" i="5" s="1"/>
  <c r="CV16" i="5" s="1"/>
  <c r="BA163" i="5"/>
  <c r="CT124" i="5"/>
  <c r="CT101" i="5"/>
  <c r="CT147" i="5"/>
  <c r="CT55" i="5"/>
  <c r="CT32" i="5"/>
  <c r="CT78" i="5"/>
  <c r="CV10" i="5"/>
  <c r="CU32" i="5"/>
  <c r="CU55" i="5"/>
  <c r="CU124" i="5"/>
  <c r="CU101" i="5"/>
  <c r="CU78" i="5"/>
  <c r="CU147" i="5"/>
  <c r="CX11" i="5"/>
  <c r="CR64" i="5"/>
  <c r="CR110" i="5"/>
  <c r="CR133" i="5"/>
  <c r="CR41" i="5"/>
  <c r="CR87" i="5"/>
  <c r="CR156" i="5"/>
  <c r="DY21" i="4"/>
  <c r="EO21" i="4"/>
  <c r="BM21" i="4"/>
  <c r="CS21" i="4"/>
  <c r="CC21" i="4"/>
  <c r="AS21" i="4"/>
  <c r="DI21" i="4"/>
  <c r="AW71" i="4"/>
  <c r="AC71" i="4"/>
  <c r="U10" i="5"/>
  <c r="BA74" i="5"/>
  <c r="E36" i="7"/>
  <c r="AF71" i="7"/>
  <c r="DW31" i="4"/>
  <c r="BK31" i="4"/>
  <c r="DG31" i="4"/>
  <c r="CA31" i="4"/>
  <c r="AS31" i="4"/>
  <c r="CQ31" i="4"/>
  <c r="EM31" i="4"/>
  <c r="CN129" i="5"/>
  <c r="CN106" i="5"/>
  <c r="CN60" i="5"/>
  <c r="CN152" i="5"/>
  <c r="CN37" i="5"/>
  <c r="CN83" i="5"/>
  <c r="BA89" i="5"/>
  <c r="BD105" i="5"/>
  <c r="BD11" i="5" s="1"/>
  <c r="EB38" i="4"/>
  <c r="DL38" i="4"/>
  <c r="BP38" i="4"/>
  <c r="CV38" i="4"/>
  <c r="ER38" i="4"/>
  <c r="CF38" i="4"/>
  <c r="AZ71" i="4"/>
  <c r="AS38" i="4"/>
  <c r="BB66" i="5"/>
  <c r="BB9" i="5" s="1"/>
  <c r="BA63" i="5"/>
  <c r="AK63" i="5" s="1"/>
  <c r="CT34" i="5"/>
  <c r="CT57" i="5"/>
  <c r="CT149" i="5"/>
  <c r="CT80" i="5"/>
  <c r="CT103" i="5"/>
  <c r="CT126" i="5"/>
  <c r="CV80" i="5"/>
  <c r="CV126" i="5"/>
  <c r="CV103" i="5"/>
  <c r="CV34" i="5"/>
  <c r="CV149" i="5"/>
  <c r="CV57" i="5"/>
  <c r="CF45" i="4"/>
  <c r="CV45" i="4"/>
  <c r="DL45" i="4"/>
  <c r="BP45" i="4"/>
  <c r="AZ73" i="4"/>
  <c r="EB45" i="4"/>
  <c r="ER45" i="4"/>
  <c r="AE19" i="5"/>
  <c r="U18" i="5"/>
  <c r="AW17" i="4"/>
  <c r="AG73" i="4"/>
  <c r="AG75" i="4" s="1"/>
  <c r="CS9" i="5"/>
  <c r="BA18" i="9"/>
  <c r="AT18" i="9"/>
  <c r="BB18" i="9" s="1"/>
  <c r="CR126" i="5"/>
  <c r="CR80" i="5"/>
  <c r="CR57" i="5"/>
  <c r="CR149" i="5"/>
  <c r="CR34" i="5"/>
  <c r="CR103" i="5"/>
  <c r="CS149" i="5"/>
  <c r="CS34" i="5"/>
  <c r="CS126" i="5"/>
  <c r="CS80" i="5"/>
  <c r="CS103" i="5"/>
  <c r="CS57" i="5"/>
  <c r="CR39" i="5"/>
  <c r="CR131" i="5"/>
  <c r="CR62" i="5"/>
  <c r="CR85" i="5"/>
  <c r="CR154" i="5"/>
  <c r="CR108" i="5"/>
  <c r="BC157" i="5"/>
  <c r="BC15" i="5" s="1"/>
  <c r="CN15" i="5" s="1"/>
  <c r="BA153" i="5"/>
  <c r="CQ36" i="5"/>
  <c r="CQ151" i="5"/>
  <c r="CQ128" i="5"/>
  <c r="CQ59" i="5"/>
  <c r="CQ105" i="5"/>
  <c r="CQ82" i="5"/>
  <c r="BA12" i="9"/>
  <c r="AT12" i="9"/>
  <c r="BB12" i="9" s="1"/>
  <c r="CW9" i="5"/>
  <c r="CP129" i="5"/>
  <c r="CP83" i="5"/>
  <c r="CP60" i="5"/>
  <c r="CP106" i="5"/>
  <c r="CP152" i="5"/>
  <c r="CP37" i="5"/>
  <c r="BA114" i="5"/>
  <c r="BE117" i="5"/>
  <c r="BE12" i="5" s="1"/>
  <c r="CP12" i="5" s="1"/>
  <c r="X137" i="3"/>
  <c r="CM93" i="3" s="1"/>
  <c r="CO95" i="5" s="1"/>
  <c r="CM92" i="3"/>
  <c r="CO94" i="5" s="1"/>
  <c r="U144" i="3"/>
  <c r="AS14" i="9"/>
  <c r="DN17" i="4"/>
  <c r="ED17" i="4"/>
  <c r="CH17" i="4"/>
  <c r="ET17" i="4"/>
  <c r="BR17" i="4"/>
  <c r="CX17" i="4"/>
  <c r="BE66" i="5"/>
  <c r="BE9" i="5" s="1"/>
  <c r="BA60" i="5"/>
  <c r="AK60" i="5" s="1"/>
  <c r="R93" i="6"/>
  <c r="I93" i="6"/>
  <c r="DV30" i="4"/>
  <c r="BJ30" i="4"/>
  <c r="EL30" i="4"/>
  <c r="BZ30" i="4"/>
  <c r="DF30" i="4"/>
  <c r="AS30" i="4"/>
  <c r="CP30" i="4"/>
  <c r="CN9" i="5"/>
  <c r="CQ39" i="4"/>
  <c r="EM39" i="4"/>
  <c r="BK39" i="4"/>
  <c r="DG39" i="4"/>
  <c r="DW39" i="4"/>
  <c r="CA39" i="4"/>
  <c r="AS39" i="4"/>
  <c r="DQ33" i="4"/>
  <c r="EG33" i="4"/>
  <c r="EW33" i="4"/>
  <c r="BU33" i="4"/>
  <c r="DA33" i="4"/>
  <c r="CK33" i="4"/>
  <c r="AS33" i="4"/>
  <c r="CO151" i="5"/>
  <c r="CO59" i="5"/>
  <c r="CO36" i="5"/>
  <c r="CO128" i="5"/>
  <c r="CO105" i="5"/>
  <c r="CO82" i="5"/>
  <c r="DV16" i="4"/>
  <c r="BZ16" i="4"/>
  <c r="EL16" i="4"/>
  <c r="CP16" i="4"/>
  <c r="BJ16" i="4"/>
  <c r="AT71" i="4"/>
  <c r="DF16" i="4"/>
  <c r="AS16" i="4"/>
  <c r="CR60" i="4"/>
  <c r="DH60" i="4"/>
  <c r="CB60" i="4"/>
  <c r="EN60" i="4"/>
  <c r="BL60" i="4"/>
  <c r="DX60" i="4"/>
  <c r="AS60" i="4"/>
  <c r="CW125" i="5"/>
  <c r="CW148" i="5"/>
  <c r="CW56" i="5"/>
  <c r="CW33" i="5"/>
  <c r="CW102" i="5"/>
  <c r="CW79" i="5"/>
  <c r="BA96" i="5"/>
  <c r="BF105" i="5"/>
  <c r="BF11" i="5" s="1"/>
  <c r="V19" i="5"/>
  <c r="U9" i="5"/>
  <c r="BA91" i="5"/>
  <c r="BJ105" i="5"/>
  <c r="BJ11" i="5" s="1"/>
  <c r="AC17" i="4"/>
  <c r="AB19" i="5"/>
  <c r="BA76" i="5"/>
  <c r="BA90" i="5"/>
  <c r="AK90" i="5" s="1"/>
  <c r="J57" i="9" l="1"/>
  <c r="CY20" i="9"/>
  <c r="CY30" i="9" s="1"/>
  <c r="CU99" i="5"/>
  <c r="J48" i="9"/>
  <c r="J47" i="9"/>
  <c r="J56" i="9"/>
  <c r="J25" i="9"/>
  <c r="J53" i="9"/>
  <c r="J55" i="9"/>
  <c r="J54" i="9"/>
  <c r="J43" i="9"/>
  <c r="J44" i="9"/>
  <c r="J45" i="9"/>
  <c r="J38" i="9"/>
  <c r="J49" i="9"/>
  <c r="J33" i="9"/>
  <c r="J46" i="9"/>
  <c r="H27" i="11"/>
  <c r="M23" i="7"/>
  <c r="AS39" i="9" s="1"/>
  <c r="E17" i="11"/>
  <c r="E29" i="11" s="1"/>
  <c r="E93" i="1"/>
  <c r="J9" i="7" s="1"/>
  <c r="AE31" i="9" s="1"/>
  <c r="CP14" i="9"/>
  <c r="CP19" i="9"/>
  <c r="CP20" i="9"/>
  <c r="CP44" i="9"/>
  <c r="CP55" i="9"/>
  <c r="CP23" i="9"/>
  <c r="CP49" i="9"/>
  <c r="CP38" i="9"/>
  <c r="CP54" i="9"/>
  <c r="CP13" i="9"/>
  <c r="CP45" i="9"/>
  <c r="CP47" i="9"/>
  <c r="CP56" i="9"/>
  <c r="CP53" i="9"/>
  <c r="CP32" i="9"/>
  <c r="CP33" i="9"/>
  <c r="CP17" i="9"/>
  <c r="CP48" i="9"/>
  <c r="CP24" i="9"/>
  <c r="CP15" i="9"/>
  <c r="CP25" i="9"/>
  <c r="CP43" i="9"/>
  <c r="CP46" i="9"/>
  <c r="CP57" i="9"/>
  <c r="AN171" i="5"/>
  <c r="AN16" i="5" s="1"/>
  <c r="AL171" i="5"/>
  <c r="AL16" i="5" s="1"/>
  <c r="AN79" i="5"/>
  <c r="AN10" i="5" s="1"/>
  <c r="AL79" i="5"/>
  <c r="AL10" i="5" s="1"/>
  <c r="AO66" i="5"/>
  <c r="AO9" i="5" s="1"/>
  <c r="AD92" i="3"/>
  <c r="CS48" i="3" s="1"/>
  <c r="CU48" i="5" s="1"/>
  <c r="AL133" i="5"/>
  <c r="AL13" i="5" s="1"/>
  <c r="L166" i="1"/>
  <c r="S9" i="7" s="1"/>
  <c r="H17" i="11"/>
  <c r="L65" i="1"/>
  <c r="P9" i="7" s="1"/>
  <c r="BG31" i="9" s="1"/>
  <c r="G17" i="11"/>
  <c r="G18" i="11"/>
  <c r="C17" i="11"/>
  <c r="E18" i="11"/>
  <c r="BA13" i="9"/>
  <c r="H18" i="11"/>
  <c r="D18" i="11"/>
  <c r="F18" i="11"/>
  <c r="E108" i="2"/>
  <c r="G9" i="7" s="1"/>
  <c r="Q31" i="9" s="1"/>
  <c r="D17" i="11"/>
  <c r="F23" i="8"/>
  <c r="E26" i="8" s="1"/>
  <c r="C18" i="11"/>
  <c r="E50" i="2"/>
  <c r="D9" i="7" s="1"/>
  <c r="C31" i="9" s="1"/>
  <c r="H40" i="8"/>
  <c r="G43" i="8" s="1"/>
  <c r="U150" i="3"/>
  <c r="AS62" i="9"/>
  <c r="BC62" i="9" s="1"/>
  <c r="BD62" i="9" s="1"/>
  <c r="AE14" i="9"/>
  <c r="AF14" i="9" s="1"/>
  <c r="AN14" i="9" s="1"/>
  <c r="AL105" i="5"/>
  <c r="AL11" i="5" s="1"/>
  <c r="CO21" i="3"/>
  <c r="CP86" i="5"/>
  <c r="AI34" i="9"/>
  <c r="AL34" i="9" s="1"/>
  <c r="E32" i="11"/>
  <c r="H32" i="11"/>
  <c r="BG16" i="9"/>
  <c r="BO16" i="9" s="1"/>
  <c r="D143" i="5"/>
  <c r="U137" i="5"/>
  <c r="D105" i="5"/>
  <c r="CS21" i="3"/>
  <c r="CL21" i="3"/>
  <c r="AG19" i="5"/>
  <c r="D157" i="5"/>
  <c r="CJ10" i="3"/>
  <c r="CR21" i="3"/>
  <c r="CQ21" i="3"/>
  <c r="CT21" i="3"/>
  <c r="CV21" i="3"/>
  <c r="U58" i="5"/>
  <c r="AK58" i="5"/>
  <c r="BA58" i="5" s="1"/>
  <c r="D44" i="5"/>
  <c r="U24" i="5"/>
  <c r="CJ16" i="3"/>
  <c r="CJ19" i="3"/>
  <c r="CN21" i="3"/>
  <c r="AK175" i="5"/>
  <c r="BA175" i="5" s="1"/>
  <c r="AK181" i="5" s="1"/>
  <c r="D181" i="5"/>
  <c r="U175" i="5"/>
  <c r="CJ13" i="3"/>
  <c r="CP21" i="3"/>
  <c r="CJ20" i="3"/>
  <c r="CJ9" i="3"/>
  <c r="AK48" i="5"/>
  <c r="BA48" i="5" s="1"/>
  <c r="U48" i="5"/>
  <c r="D54" i="5"/>
  <c r="AK185" i="5"/>
  <c r="BA185" i="5" s="1"/>
  <c r="AK195" i="5" s="1"/>
  <c r="AK18" i="5" s="1"/>
  <c r="CJ22" i="9" s="1"/>
  <c r="CR22" i="9" s="1"/>
  <c r="U185" i="5"/>
  <c r="D195" i="5"/>
  <c r="CJ17" i="3"/>
  <c r="CU21" i="3"/>
  <c r="CK21" i="3"/>
  <c r="AK109" i="5"/>
  <c r="BA109" i="5" s="1"/>
  <c r="AK117" i="5" s="1"/>
  <c r="AK12" i="5" s="1"/>
  <c r="CJ16" i="9" s="1"/>
  <c r="CR16" i="9" s="1"/>
  <c r="U109" i="5"/>
  <c r="D117" i="5"/>
  <c r="CJ15" i="3"/>
  <c r="CJ12" i="3"/>
  <c r="AK121" i="5"/>
  <c r="BA121" i="5" s="1"/>
  <c r="AK133" i="5" s="1"/>
  <c r="D133" i="5"/>
  <c r="U121" i="5"/>
  <c r="AK70" i="5"/>
  <c r="BA70" i="5" s="1"/>
  <c r="U70" i="5"/>
  <c r="D79" i="5"/>
  <c r="CJ14" i="3"/>
  <c r="CM21" i="3"/>
  <c r="AU171" i="5"/>
  <c r="AU16" i="5" s="1"/>
  <c r="AS34" i="9"/>
  <c r="CI34" i="9" s="1"/>
  <c r="G17" i="7"/>
  <c r="Q37" i="9" s="1"/>
  <c r="R35" i="9" s="1"/>
  <c r="U161" i="5"/>
  <c r="D171" i="5"/>
  <c r="AK161" i="5"/>
  <c r="BA161" i="5" s="1"/>
  <c r="CJ18" i="3"/>
  <c r="G27" i="11"/>
  <c r="R27" i="7"/>
  <c r="T26" i="7" s="1"/>
  <c r="I34" i="7" s="1"/>
  <c r="U141" i="3"/>
  <c r="L8" i="12"/>
  <c r="L9" i="12" s="1"/>
  <c r="L10" i="12" s="1"/>
  <c r="L12" i="12" s="1"/>
  <c r="G39" i="7"/>
  <c r="AE30" i="9"/>
  <c r="S23" i="7"/>
  <c r="BU39" i="9" s="1"/>
  <c r="M14" i="7"/>
  <c r="AS36" i="9" s="1"/>
  <c r="C18" i="7"/>
  <c r="D17" i="7" s="1"/>
  <c r="E13" i="7" s="1"/>
  <c r="O18" i="7"/>
  <c r="P17" i="7" s="1"/>
  <c r="BG37" i="9" s="1"/>
  <c r="AB16" i="12"/>
  <c r="K8" i="12" s="1"/>
  <c r="K9" i="12" s="1"/>
  <c r="K10" i="12" s="1"/>
  <c r="S14" i="7"/>
  <c r="BU36" i="9" s="1"/>
  <c r="J14" i="7"/>
  <c r="AE36" i="9" s="1"/>
  <c r="AI36" i="9" s="1"/>
  <c r="E100" i="1"/>
  <c r="I22" i="7" s="1"/>
  <c r="J21" i="7" s="1"/>
  <c r="AE38" i="9" s="1"/>
  <c r="AM38" i="9" s="1"/>
  <c r="AP38" i="9" s="1"/>
  <c r="E74" i="1"/>
  <c r="I18" i="7" s="1"/>
  <c r="J17" i="7" s="1"/>
  <c r="F39" i="7" s="1"/>
  <c r="AA16" i="12"/>
  <c r="I8" i="12" s="1"/>
  <c r="I9" i="12" s="1"/>
  <c r="I10" i="12" s="1"/>
  <c r="O22" i="7"/>
  <c r="P21" i="7" s="1"/>
  <c r="BG38" i="9" s="1"/>
  <c r="BO38" i="9" s="1"/>
  <c r="BR38" i="9" s="1"/>
  <c r="R22" i="7"/>
  <c r="S21" i="7" s="1"/>
  <c r="BU38" i="9" s="1"/>
  <c r="CC38" i="9" s="1"/>
  <c r="CF38" i="9" s="1"/>
  <c r="J23" i="7"/>
  <c r="C33" i="9"/>
  <c r="BG30" i="9"/>
  <c r="D31" i="11"/>
  <c r="F28" i="11"/>
  <c r="BU33" i="9"/>
  <c r="CC33" i="9" s="1"/>
  <c r="CF33" i="9" s="1"/>
  <c r="Q30" i="9"/>
  <c r="AE29" i="9"/>
  <c r="AI29" i="9" s="1"/>
  <c r="AM29" i="9" s="1"/>
  <c r="AP29" i="9" s="1"/>
  <c r="G31" i="11"/>
  <c r="G32" i="11"/>
  <c r="BU29" i="9"/>
  <c r="AD180" i="3"/>
  <c r="CS136" i="3" s="1"/>
  <c r="CU140" i="5" s="1"/>
  <c r="P40" i="8"/>
  <c r="O43" i="8" s="1"/>
  <c r="J79" i="6"/>
  <c r="J80" i="6"/>
  <c r="F34" i="7"/>
  <c r="AF40" i="9"/>
  <c r="G34" i="7"/>
  <c r="AT40" i="9"/>
  <c r="AX40" i="9" s="1"/>
  <c r="BB40" i="9" s="1"/>
  <c r="BD40" i="9" s="1"/>
  <c r="U153" i="3"/>
  <c r="BA11" i="9"/>
  <c r="AT11" i="9"/>
  <c r="BB11" i="9" s="1"/>
  <c r="O27" i="7"/>
  <c r="Q26" i="7" s="1"/>
  <c r="H34" i="7" s="1"/>
  <c r="U163" i="3"/>
  <c r="F40" i="8"/>
  <c r="E43" i="8" s="1"/>
  <c r="U87" i="3"/>
  <c r="U166" i="3"/>
  <c r="F27" i="7"/>
  <c r="H26" i="7" s="1"/>
  <c r="E34" i="7" s="1"/>
  <c r="X71" i="3"/>
  <c r="CM27" i="3" s="1"/>
  <c r="CO26" i="5" s="1"/>
  <c r="C27" i="7"/>
  <c r="E26" i="7" s="1"/>
  <c r="D40" i="9" s="1"/>
  <c r="U70" i="3"/>
  <c r="CJ26" i="3" s="1"/>
  <c r="CL25" i="5" s="1"/>
  <c r="AD70" i="3"/>
  <c r="CS26" i="3" s="1"/>
  <c r="CU25" i="5" s="1"/>
  <c r="U71" i="3"/>
  <c r="CJ27" i="3" s="1"/>
  <c r="CL26" i="5" s="1"/>
  <c r="CJ25" i="3"/>
  <c r="CL24" i="5" s="1"/>
  <c r="AF18" i="9"/>
  <c r="AN18" i="9" s="1"/>
  <c r="AS17" i="9"/>
  <c r="BG23" i="9"/>
  <c r="BO23" i="9" s="1"/>
  <c r="BG21" i="9"/>
  <c r="BO21" i="9" s="1"/>
  <c r="P23" i="7"/>
  <c r="P14" i="7"/>
  <c r="CO148" i="5"/>
  <c r="AS21" i="9"/>
  <c r="U151" i="3"/>
  <c r="AT16" i="9"/>
  <c r="BB16" i="9" s="1"/>
  <c r="BU30" i="9"/>
  <c r="DQ22" i="4"/>
  <c r="DE22" i="4" s="1"/>
  <c r="CS99" i="5"/>
  <c r="CP40" i="5"/>
  <c r="CT99" i="5"/>
  <c r="CP155" i="5"/>
  <c r="CP109" i="5"/>
  <c r="CM148" i="5"/>
  <c r="CM151" i="5"/>
  <c r="CO56" i="5"/>
  <c r="CO125" i="5"/>
  <c r="CO33" i="5"/>
  <c r="CU81" i="5"/>
  <c r="CX61" i="4"/>
  <c r="CO61" i="4" s="1"/>
  <c r="CS145" i="5"/>
  <c r="CM110" i="5"/>
  <c r="AS22" i="4"/>
  <c r="BA44" i="5"/>
  <c r="CS122" i="5"/>
  <c r="CT76" i="5"/>
  <c r="CM84" i="5"/>
  <c r="CO79" i="5"/>
  <c r="CS30" i="5"/>
  <c r="CS76" i="5"/>
  <c r="AS32" i="4"/>
  <c r="EN32" i="4"/>
  <c r="EN73" i="4" s="1"/>
  <c r="EL56" i="4"/>
  <c r="EL73" i="4" s="1"/>
  <c r="CP56" i="4"/>
  <c r="CO56" i="4" s="1"/>
  <c r="DH32" i="4"/>
  <c r="DE32" i="4" s="1"/>
  <c r="CN57" i="5"/>
  <c r="CN80" i="5"/>
  <c r="CT30" i="5"/>
  <c r="AN44" i="5"/>
  <c r="AN7" i="5" s="1"/>
  <c r="CM153" i="5"/>
  <c r="CP149" i="5"/>
  <c r="CB32" i="4"/>
  <c r="CB73" i="4" s="1"/>
  <c r="AS61" i="4"/>
  <c r="CU145" i="5"/>
  <c r="CT122" i="5"/>
  <c r="CM64" i="5"/>
  <c r="CM130" i="5"/>
  <c r="CP103" i="5"/>
  <c r="DG66" i="4"/>
  <c r="DE66" i="4" s="1"/>
  <c r="BU22" i="4"/>
  <c r="BI22" i="4" s="1"/>
  <c r="CN34" i="5"/>
  <c r="CT145" i="5"/>
  <c r="BL32" i="4"/>
  <c r="BL73" i="4" s="1"/>
  <c r="AT73" i="4"/>
  <c r="AT75" i="4" s="1"/>
  <c r="AV73" i="4"/>
  <c r="AV75" i="4" s="1"/>
  <c r="DX32" i="4"/>
  <c r="DU32" i="4" s="1"/>
  <c r="DF56" i="4"/>
  <c r="DE56" i="4" s="1"/>
  <c r="CM105" i="5"/>
  <c r="CM128" i="5"/>
  <c r="BB73" i="4"/>
  <c r="BB75" i="4" s="1"/>
  <c r="CU35" i="5"/>
  <c r="CU76" i="5"/>
  <c r="BE73" i="4"/>
  <c r="BE75" i="4" s="1"/>
  <c r="CM59" i="5"/>
  <c r="CM36" i="5"/>
  <c r="CM87" i="5"/>
  <c r="CM133" i="5"/>
  <c r="BM19" i="5"/>
  <c r="CX19" i="5" s="1"/>
  <c r="EM66" i="4"/>
  <c r="EK66" i="4" s="1"/>
  <c r="CH61" i="4"/>
  <c r="BY61" i="4" s="1"/>
  <c r="ED61" i="4"/>
  <c r="DU61" i="4" s="1"/>
  <c r="AS66" i="4"/>
  <c r="CK22" i="4"/>
  <c r="CK73" i="4" s="1"/>
  <c r="CU104" i="5"/>
  <c r="CU150" i="5"/>
  <c r="CU122" i="5"/>
  <c r="DN61" i="4"/>
  <c r="DE61" i="4" s="1"/>
  <c r="CU30" i="5"/>
  <c r="CM156" i="5"/>
  <c r="BR61" i="4"/>
  <c r="BI61" i="4" s="1"/>
  <c r="EG22" i="4"/>
  <c r="EG73" i="4" s="1"/>
  <c r="EW22" i="4"/>
  <c r="EK22" i="4" s="1"/>
  <c r="CU127" i="5"/>
  <c r="CP99" i="5"/>
  <c r="CP122" i="5"/>
  <c r="CP76" i="5"/>
  <c r="CP30" i="5"/>
  <c r="CP145" i="5"/>
  <c r="CP53" i="5"/>
  <c r="CA66" i="4"/>
  <c r="BY66" i="4" s="1"/>
  <c r="CM61" i="5"/>
  <c r="CM38" i="5"/>
  <c r="DW66" i="4"/>
  <c r="DW73" i="4" s="1"/>
  <c r="CN126" i="5"/>
  <c r="BA54" i="5"/>
  <c r="BA8" i="5" s="1"/>
  <c r="CL8" i="5" s="1"/>
  <c r="BA181" i="5"/>
  <c r="CM100" i="5"/>
  <c r="CL100" i="5" s="1"/>
  <c r="CM31" i="5"/>
  <c r="CL31" i="5" s="1"/>
  <c r="CM54" i="5"/>
  <c r="CL54" i="5" s="1"/>
  <c r="CM123" i="5"/>
  <c r="CL123" i="5" s="1"/>
  <c r="CM146" i="5"/>
  <c r="CL146" i="5" s="1"/>
  <c r="CM77" i="5"/>
  <c r="CL77" i="5" s="1"/>
  <c r="CR30" i="5"/>
  <c r="CR42" i="5" s="1"/>
  <c r="CR162" i="5" s="1"/>
  <c r="CR145" i="5"/>
  <c r="CR157" i="5" s="1"/>
  <c r="CR167" i="5" s="1"/>
  <c r="CR122" i="5"/>
  <c r="CR134" i="5" s="1"/>
  <c r="CR166" i="5" s="1"/>
  <c r="CR99" i="5"/>
  <c r="CR111" i="5" s="1"/>
  <c r="CR165" i="5" s="1"/>
  <c r="CR53" i="5"/>
  <c r="CR65" i="5" s="1"/>
  <c r="CR163" i="5" s="1"/>
  <c r="CR76" i="5"/>
  <c r="CR88" i="5" s="1"/>
  <c r="CR164" i="5" s="1"/>
  <c r="CV99" i="5"/>
  <c r="CV76" i="5"/>
  <c r="CV122" i="5"/>
  <c r="CV145" i="5"/>
  <c r="CV30" i="5"/>
  <c r="CV53" i="5"/>
  <c r="CM86" i="5"/>
  <c r="CM40" i="5"/>
  <c r="CM155" i="5"/>
  <c r="CM109" i="5"/>
  <c r="CM132" i="5"/>
  <c r="CL132" i="5" s="1"/>
  <c r="CM63" i="5"/>
  <c r="CL63" i="5" s="1"/>
  <c r="CN99" i="5"/>
  <c r="CN145" i="5"/>
  <c r="CN53" i="5"/>
  <c r="CN122" i="5"/>
  <c r="CN76" i="5"/>
  <c r="CX76" i="5"/>
  <c r="CX53" i="5"/>
  <c r="CX122" i="5"/>
  <c r="CX145" i="5"/>
  <c r="CX99" i="5"/>
  <c r="CX30" i="5"/>
  <c r="AL44" i="5"/>
  <c r="AL7" i="5" s="1"/>
  <c r="BB7" i="5"/>
  <c r="CM7" i="5" s="1"/>
  <c r="CO99" i="5"/>
  <c r="CO30" i="5"/>
  <c r="CO53" i="5"/>
  <c r="CO122" i="5"/>
  <c r="CO145" i="5"/>
  <c r="CO76" i="5"/>
  <c r="AU73" i="4"/>
  <c r="AU75" i="4" s="1"/>
  <c r="BK66" i="4"/>
  <c r="BI66" i="4" s="1"/>
  <c r="BG19" i="5"/>
  <c r="CN149" i="5"/>
  <c r="AS56" i="4"/>
  <c r="BJ56" i="4"/>
  <c r="BI56" i="4" s="1"/>
  <c r="BZ56" i="4"/>
  <c r="BZ73" i="4" s="1"/>
  <c r="U85" i="3"/>
  <c r="Q22" i="9"/>
  <c r="R22" i="9" s="1"/>
  <c r="Z22" i="9" s="1"/>
  <c r="C18" i="9"/>
  <c r="K18" i="9" s="1"/>
  <c r="U97" i="3"/>
  <c r="BG22" i="9"/>
  <c r="BO22" i="9" s="1"/>
  <c r="BA195" i="5"/>
  <c r="BA18" i="5" s="1"/>
  <c r="CL18" i="5" s="1"/>
  <c r="U191" i="3"/>
  <c r="BU17" i="9"/>
  <c r="BG18" i="9"/>
  <c r="BH18" i="9" s="1"/>
  <c r="BP18" i="9" s="1"/>
  <c r="U152" i="3"/>
  <c r="AS22" i="9"/>
  <c r="U128" i="3"/>
  <c r="AE20" i="9"/>
  <c r="CM56" i="5"/>
  <c r="BA66" i="5"/>
  <c r="BA9" i="5" s="1"/>
  <c r="CL9" i="5" s="1"/>
  <c r="CO39" i="5"/>
  <c r="C11" i="9"/>
  <c r="CM102" i="5"/>
  <c r="CP57" i="5"/>
  <c r="CP80" i="5"/>
  <c r="CO131" i="5"/>
  <c r="Q16" i="9"/>
  <c r="Y16" i="9" s="1"/>
  <c r="C17" i="9"/>
  <c r="D17" i="9" s="1"/>
  <c r="L17" i="9" s="1"/>
  <c r="U107" i="3"/>
  <c r="U119" i="3"/>
  <c r="CM33" i="5"/>
  <c r="CP34" i="5"/>
  <c r="U189" i="3"/>
  <c r="AM15" i="9"/>
  <c r="BA143" i="5"/>
  <c r="BA14" i="5" s="1"/>
  <c r="CL14" i="5" s="1"/>
  <c r="AE22" i="9"/>
  <c r="U130" i="3"/>
  <c r="U105" i="3"/>
  <c r="Q13" i="9"/>
  <c r="Y13" i="9" s="1"/>
  <c r="Y16" i="12"/>
  <c r="R18" i="7"/>
  <c r="S17" i="7" s="1"/>
  <c r="I39" i="7" s="1"/>
  <c r="X16" i="12"/>
  <c r="CJ43" i="3"/>
  <c r="CJ11" i="3"/>
  <c r="U98" i="3"/>
  <c r="Q12" i="9"/>
  <c r="AL66" i="5"/>
  <c r="AL9" i="5" s="1"/>
  <c r="CJ153" i="3"/>
  <c r="CJ131" i="3"/>
  <c r="C23" i="9"/>
  <c r="K23" i="9" s="1"/>
  <c r="D19" i="5"/>
  <c r="CJ109" i="3"/>
  <c r="CJ65" i="3"/>
  <c r="U129" i="3"/>
  <c r="AE21" i="9"/>
  <c r="U101" i="3"/>
  <c r="Q15" i="9"/>
  <c r="BU16" i="9"/>
  <c r="U190" i="3"/>
  <c r="AE16" i="9"/>
  <c r="U124" i="3"/>
  <c r="U167" i="3"/>
  <c r="BG15" i="9"/>
  <c r="AE19" i="9"/>
  <c r="U127" i="3"/>
  <c r="U131" i="3"/>
  <c r="AE23" i="9"/>
  <c r="BA117" i="5"/>
  <c r="BA12" i="5" s="1"/>
  <c r="CL12" i="5" s="1"/>
  <c r="BA157" i="5"/>
  <c r="BA15" i="5" s="1"/>
  <c r="CL15" i="5" s="1"/>
  <c r="U164" i="3"/>
  <c r="CM79" i="5"/>
  <c r="U195" i="3"/>
  <c r="Q17" i="9"/>
  <c r="Q20" i="9"/>
  <c r="U106" i="3"/>
  <c r="BG62" i="9"/>
  <c r="Q23" i="9"/>
  <c r="U109" i="3"/>
  <c r="Q14" i="9"/>
  <c r="U100" i="3"/>
  <c r="U125" i="3"/>
  <c r="AE17" i="9"/>
  <c r="U104" i="3"/>
  <c r="Q18" i="9"/>
  <c r="U186" i="3"/>
  <c r="BU12" i="9"/>
  <c r="U123" i="3"/>
  <c r="M26" i="8"/>
  <c r="CG46" i="4"/>
  <c r="CG74" i="4" s="1"/>
  <c r="DM46" i="4"/>
  <c r="DE46" i="4" s="1"/>
  <c r="AS46" i="4"/>
  <c r="AS74" i="4" s="1"/>
  <c r="CF74" i="4"/>
  <c r="EM74" i="4"/>
  <c r="BA74" i="4"/>
  <c r="BA75" i="4" s="1"/>
  <c r="EC46" i="4"/>
  <c r="EC74" i="4" s="1"/>
  <c r="BQ46" i="4"/>
  <c r="BQ74" i="4" s="1"/>
  <c r="ES46" i="4"/>
  <c r="ES74" i="4" s="1"/>
  <c r="EO74" i="4"/>
  <c r="EF74" i="4"/>
  <c r="DX74" i="4"/>
  <c r="CI74" i="4"/>
  <c r="BP74" i="4"/>
  <c r="U194" i="3"/>
  <c r="BU20" i="9"/>
  <c r="AM11" i="9"/>
  <c r="BU19" i="9"/>
  <c r="U193" i="3"/>
  <c r="BU23" i="9"/>
  <c r="U197" i="3"/>
  <c r="BU11" i="9"/>
  <c r="U185" i="3"/>
  <c r="BC19" i="5"/>
  <c r="CN19" i="5" s="1"/>
  <c r="BH19" i="5"/>
  <c r="BU14" i="9"/>
  <c r="U188" i="3"/>
  <c r="O26" i="8"/>
  <c r="BU62" i="9"/>
  <c r="AC73" i="4"/>
  <c r="AC75" i="4" s="1"/>
  <c r="BV21" i="9"/>
  <c r="CD21" i="9" s="1"/>
  <c r="CC21" i="9"/>
  <c r="BG17" i="9"/>
  <c r="U169" i="3"/>
  <c r="C22" i="9"/>
  <c r="U86" i="3"/>
  <c r="U83" i="3"/>
  <c r="C19" i="9"/>
  <c r="U19" i="5"/>
  <c r="CO108" i="5"/>
  <c r="CO62" i="5"/>
  <c r="ED74" i="4"/>
  <c r="DF74" i="4"/>
  <c r="EA74" i="4"/>
  <c r="BG13" i="9"/>
  <c r="U165" i="3"/>
  <c r="BG20" i="9"/>
  <c r="U172" i="3"/>
  <c r="CN127" i="5"/>
  <c r="CN150" i="5"/>
  <c r="CN81" i="5"/>
  <c r="CN58" i="5"/>
  <c r="CN104" i="5"/>
  <c r="CN35" i="5"/>
  <c r="BO14" i="9"/>
  <c r="CO154" i="5"/>
  <c r="BA171" i="5"/>
  <c r="BA16" i="5" s="1"/>
  <c r="CL16" i="5" s="1"/>
  <c r="CR74" i="4"/>
  <c r="BG19" i="9"/>
  <c r="U171" i="3"/>
  <c r="R11" i="9"/>
  <c r="Z11" i="9" s="1"/>
  <c r="Y11" i="9"/>
  <c r="U76" i="3"/>
  <c r="C12" i="9"/>
  <c r="BL19" i="5"/>
  <c r="EU74" i="4"/>
  <c r="ET74" i="4"/>
  <c r="BA133" i="5"/>
  <c r="CN36" i="5"/>
  <c r="CN82" i="5"/>
  <c r="CN105" i="5"/>
  <c r="CN128" i="5"/>
  <c r="CN59" i="5"/>
  <c r="CN151" i="5"/>
  <c r="BA20" i="9"/>
  <c r="AT20" i="9"/>
  <c r="BB20" i="9" s="1"/>
  <c r="CS105" i="5"/>
  <c r="CS128" i="5"/>
  <c r="CS59" i="5"/>
  <c r="CS36" i="5"/>
  <c r="CS82" i="5"/>
  <c r="CS151" i="5"/>
  <c r="CW105" i="5"/>
  <c r="CW59" i="5"/>
  <c r="CW151" i="5"/>
  <c r="CW82" i="5"/>
  <c r="CW128" i="5"/>
  <c r="CW36" i="5"/>
  <c r="C16" i="9"/>
  <c r="U80" i="3"/>
  <c r="AF13" i="9"/>
  <c r="AN13" i="9" s="1"/>
  <c r="AM13" i="9"/>
  <c r="CT13" i="5"/>
  <c r="BI19" i="5"/>
  <c r="CT19" i="5" s="1"/>
  <c r="K21" i="9"/>
  <c r="D21" i="9"/>
  <c r="L21" i="9" s="1"/>
  <c r="BJ74" i="4"/>
  <c r="DL74" i="4"/>
  <c r="BZ74" i="4"/>
  <c r="CQ87" i="5"/>
  <c r="CQ156" i="5"/>
  <c r="CQ133" i="5"/>
  <c r="CQ64" i="5"/>
  <c r="CQ110" i="5"/>
  <c r="CQ41" i="5"/>
  <c r="U196" i="3"/>
  <c r="BU22" i="9"/>
  <c r="U77" i="3"/>
  <c r="C13" i="9"/>
  <c r="CO35" i="5"/>
  <c r="CO81" i="5"/>
  <c r="CO127" i="5"/>
  <c r="CO104" i="5"/>
  <c r="CO150" i="5"/>
  <c r="CO58" i="5"/>
  <c r="CO153" i="5"/>
  <c r="CO38" i="5"/>
  <c r="CO130" i="5"/>
  <c r="CO61" i="5"/>
  <c r="CO84" i="5"/>
  <c r="CO107" i="5"/>
  <c r="U84" i="3"/>
  <c r="C20" i="9"/>
  <c r="AM12" i="9"/>
  <c r="AF12" i="9"/>
  <c r="AN12" i="9" s="1"/>
  <c r="EB74" i="4"/>
  <c r="CP74" i="4"/>
  <c r="CM131" i="5"/>
  <c r="CM39" i="5"/>
  <c r="CM62" i="5"/>
  <c r="CM154" i="5"/>
  <c r="CM85" i="5"/>
  <c r="CM108" i="5"/>
  <c r="U192" i="3"/>
  <c r="BU18" i="9"/>
  <c r="C15" i="9"/>
  <c r="U79" i="3"/>
  <c r="CQ152" i="5"/>
  <c r="CL152" i="5" s="1"/>
  <c r="CQ106" i="5"/>
  <c r="CL106" i="5" s="1"/>
  <c r="CQ129" i="5"/>
  <c r="CL129" i="5" s="1"/>
  <c r="CQ60" i="5"/>
  <c r="CL60" i="5" s="1"/>
  <c r="CQ83" i="5"/>
  <c r="CL83" i="5" s="1"/>
  <c r="CQ37" i="5"/>
  <c r="CL37" i="5" s="1"/>
  <c r="CL179" i="5" s="1"/>
  <c r="U187" i="3"/>
  <c r="BU13" i="9"/>
  <c r="C14" i="9"/>
  <c r="U78" i="3"/>
  <c r="BK19" i="5"/>
  <c r="CC74" i="4"/>
  <c r="CJ74" i="4"/>
  <c r="J100" i="6"/>
  <c r="DW74" i="4"/>
  <c r="CH74" i="4"/>
  <c r="DN74" i="4"/>
  <c r="BS74" i="4"/>
  <c r="CB74" i="4"/>
  <c r="CA74" i="4"/>
  <c r="ER74" i="4"/>
  <c r="EL74" i="4"/>
  <c r="BT74" i="4"/>
  <c r="BI45" i="4"/>
  <c r="EG74" i="4"/>
  <c r="CZ74" i="4"/>
  <c r="EK8" i="4"/>
  <c r="CT74" i="4"/>
  <c r="DG74" i="4"/>
  <c r="CY74" i="4"/>
  <c r="DO74" i="4"/>
  <c r="BL74" i="4"/>
  <c r="DV74" i="4"/>
  <c r="CQ74" i="4"/>
  <c r="EK65" i="4"/>
  <c r="EE71" i="4"/>
  <c r="CO32" i="4"/>
  <c r="EE74" i="4"/>
  <c r="EK31" i="4"/>
  <c r="DE31" i="4"/>
  <c r="BD75" i="4"/>
  <c r="DU8" i="4"/>
  <c r="DJ74" i="4"/>
  <c r="EC73" i="4"/>
  <c r="BO71" i="4"/>
  <c r="EQ71" i="4"/>
  <c r="ED71" i="4"/>
  <c r="DU12" i="4"/>
  <c r="BY28" i="4"/>
  <c r="BR74" i="4"/>
  <c r="BS73" i="4"/>
  <c r="EA73" i="4"/>
  <c r="DM73" i="4"/>
  <c r="BI51" i="4"/>
  <c r="CO28" i="4"/>
  <c r="DU28" i="4"/>
  <c r="DE28" i="4"/>
  <c r="CI73" i="4"/>
  <c r="CT73" i="4"/>
  <c r="DK73" i="4"/>
  <c r="DE8" i="4"/>
  <c r="DU65" i="4"/>
  <c r="CX74" i="4"/>
  <c r="AX75" i="4"/>
  <c r="DA74" i="4"/>
  <c r="DH74" i="4"/>
  <c r="EV74" i="4"/>
  <c r="DE65" i="4"/>
  <c r="DZ73" i="4"/>
  <c r="CV74" i="4"/>
  <c r="DE12" i="4"/>
  <c r="DU44" i="4"/>
  <c r="DU72" i="4" s="1"/>
  <c r="CF73" i="4"/>
  <c r="EK50" i="4"/>
  <c r="BI8" i="4"/>
  <c r="CU73" i="4"/>
  <c r="CW73" i="4"/>
  <c r="EK61" i="4"/>
  <c r="CD74" i="4"/>
  <c r="BI43" i="4"/>
  <c r="CE73" i="4"/>
  <c r="EP74" i="4"/>
  <c r="DZ74" i="4"/>
  <c r="DU43" i="4"/>
  <c r="DP74" i="4"/>
  <c r="EN74" i="4"/>
  <c r="CZ71" i="4"/>
  <c r="DU51" i="4"/>
  <c r="EF73" i="4"/>
  <c r="BQ73" i="4"/>
  <c r="BI50" i="4"/>
  <c r="DE50" i="4"/>
  <c r="EF71" i="4"/>
  <c r="BI55" i="4"/>
  <c r="DU56" i="4"/>
  <c r="EV71" i="4"/>
  <c r="BY27" i="4"/>
  <c r="EC71" i="4"/>
  <c r="DQ74" i="4"/>
  <c r="CZ73" i="4"/>
  <c r="BT73" i="4"/>
  <c r="EK27" i="4"/>
  <c r="DE34" i="4"/>
  <c r="EQ73" i="4"/>
  <c r="CO44" i="4"/>
  <c r="CO72" i="4" s="1"/>
  <c r="DE44" i="4"/>
  <c r="DE72" i="4" s="1"/>
  <c r="BS71" i="4"/>
  <c r="BC75" i="4"/>
  <c r="DM71" i="4"/>
  <c r="DN71" i="4"/>
  <c r="CO27" i="4"/>
  <c r="DU34" i="4"/>
  <c r="DE26" i="4"/>
  <c r="CE71" i="4"/>
  <c r="EG71" i="4"/>
  <c r="CA71" i="4"/>
  <c r="BN71" i="4"/>
  <c r="BY55" i="4"/>
  <c r="CD73" i="4"/>
  <c r="CO22" i="4"/>
  <c r="DX71" i="4"/>
  <c r="EP73" i="4"/>
  <c r="DU50" i="4"/>
  <c r="CT71" i="4"/>
  <c r="BI60" i="4"/>
  <c r="DJ73" i="4"/>
  <c r="BY60" i="4"/>
  <c r="AY75" i="4"/>
  <c r="BM74" i="4"/>
  <c r="DE51" i="4"/>
  <c r="DE55" i="4"/>
  <c r="BU74" i="4"/>
  <c r="CO66" i="4"/>
  <c r="CW74" i="4"/>
  <c r="BQ71" i="4"/>
  <c r="DI74" i="4"/>
  <c r="BT71" i="4"/>
  <c r="CY71" i="4"/>
  <c r="CU74" i="4"/>
  <c r="EK28" i="4"/>
  <c r="BO74" i="4"/>
  <c r="BI65" i="4"/>
  <c r="CO46" i="4"/>
  <c r="CW71" i="4"/>
  <c r="EK12" i="4"/>
  <c r="EV73" i="4"/>
  <c r="DP73" i="4"/>
  <c r="CJ73" i="4"/>
  <c r="EE73" i="4"/>
  <c r="DO73" i="4"/>
  <c r="ES73" i="4"/>
  <c r="CR73" i="4"/>
  <c r="BI34" i="4"/>
  <c r="CO34" i="4"/>
  <c r="CO12" i="4"/>
  <c r="BO73" i="4"/>
  <c r="CO26" i="4"/>
  <c r="DU26" i="4"/>
  <c r="CJ71" i="4"/>
  <c r="CI71" i="4"/>
  <c r="CG73" i="4"/>
  <c r="EK60" i="4"/>
  <c r="BY45" i="4"/>
  <c r="CV73" i="4"/>
  <c r="BY31" i="4"/>
  <c r="BY34" i="4"/>
  <c r="ES71" i="4"/>
  <c r="DU29" i="4"/>
  <c r="CO43" i="4"/>
  <c r="CR71" i="4"/>
  <c r="BY26" i="4"/>
  <c r="BI27" i="4"/>
  <c r="DP71" i="4"/>
  <c r="EW71" i="4"/>
  <c r="BK71" i="4"/>
  <c r="BY65" i="4"/>
  <c r="BK74" i="4"/>
  <c r="CS74" i="4"/>
  <c r="CY73" i="4"/>
  <c r="EK33" i="4"/>
  <c r="BY8" i="4"/>
  <c r="ER73" i="4"/>
  <c r="DL73" i="4"/>
  <c r="BI44" i="4"/>
  <c r="BI72" i="4" s="1"/>
  <c r="DU31" i="4"/>
  <c r="BN74" i="4"/>
  <c r="EK34" i="4"/>
  <c r="CU71" i="4"/>
  <c r="BY43" i="4"/>
  <c r="CG71" i="4"/>
  <c r="EK26" i="4"/>
  <c r="EK29" i="4"/>
  <c r="EK43" i="4"/>
  <c r="DE27" i="4"/>
  <c r="BY50" i="4"/>
  <c r="DK71" i="4"/>
  <c r="EW74" i="4"/>
  <c r="EK51" i="4"/>
  <c r="BI12" i="4"/>
  <c r="CK74" i="4"/>
  <c r="EQ74" i="4"/>
  <c r="DY74" i="4"/>
  <c r="C30" i="9"/>
  <c r="C28" i="11"/>
  <c r="EM71" i="4"/>
  <c r="DO71" i="4"/>
  <c r="DZ71" i="4"/>
  <c r="BY44" i="4"/>
  <c r="BY72" i="4" s="1"/>
  <c r="DU33" i="4"/>
  <c r="ET73" i="4"/>
  <c r="EB73" i="4"/>
  <c r="DE43" i="4"/>
  <c r="BY29" i="4"/>
  <c r="DH71" i="4"/>
  <c r="BR71" i="4"/>
  <c r="DU27" i="4"/>
  <c r="CD71" i="4"/>
  <c r="DQ71" i="4"/>
  <c r="CO65" i="4"/>
  <c r="EU71" i="4"/>
  <c r="DJ71" i="4"/>
  <c r="DU55" i="4"/>
  <c r="BN73" i="4"/>
  <c r="CE74" i="4"/>
  <c r="CO8" i="4"/>
  <c r="BP73" i="4"/>
  <c r="EK44" i="4"/>
  <c r="EK72" i="4" s="1"/>
  <c r="CO31" i="4"/>
  <c r="BI31" i="4"/>
  <c r="CQ71" i="4"/>
  <c r="CO29" i="4"/>
  <c r="DG71" i="4"/>
  <c r="ET71" i="4"/>
  <c r="CO50" i="4"/>
  <c r="DW71" i="4"/>
  <c r="CO51" i="4"/>
  <c r="EU73" i="4"/>
  <c r="BY51" i="4"/>
  <c r="BI28" i="4"/>
  <c r="DK74" i="4"/>
  <c r="C31" i="11"/>
  <c r="EK55" i="4"/>
  <c r="CX71" i="4"/>
  <c r="DU45" i="4"/>
  <c r="BL71" i="4"/>
  <c r="CO60" i="4"/>
  <c r="EA71" i="4"/>
  <c r="CH71" i="4"/>
  <c r="BI29" i="4"/>
  <c r="CK71" i="4"/>
  <c r="BU71" i="4"/>
  <c r="CO55" i="4"/>
  <c r="CO45" i="4"/>
  <c r="CB71" i="4"/>
  <c r="AS71" i="4"/>
  <c r="DU60" i="4"/>
  <c r="DE60" i="4"/>
  <c r="EP71" i="4"/>
  <c r="DE29" i="4"/>
  <c r="BI26" i="4"/>
  <c r="DA71" i="4"/>
  <c r="BI30" i="4"/>
  <c r="CM9" i="5"/>
  <c r="CP9" i="5"/>
  <c r="BE19" i="5"/>
  <c r="CP19" i="5" s="1"/>
  <c r="CW55" i="5"/>
  <c r="CW124" i="5"/>
  <c r="CW101" i="5"/>
  <c r="CW147" i="5"/>
  <c r="CW78" i="5"/>
  <c r="CW32" i="5"/>
  <c r="CF71" i="4"/>
  <c r="BY38" i="4"/>
  <c r="DE38" i="4"/>
  <c r="DL71" i="4"/>
  <c r="BD19" i="5"/>
  <c r="CO19" i="5" s="1"/>
  <c r="CO11" i="5"/>
  <c r="BV15" i="9"/>
  <c r="CD15" i="9" s="1"/>
  <c r="CC15" i="9"/>
  <c r="DI71" i="4"/>
  <c r="DE21" i="4"/>
  <c r="BM71" i="4"/>
  <c r="BI21" i="4"/>
  <c r="CX57" i="5"/>
  <c r="CX80" i="5"/>
  <c r="CX149" i="5"/>
  <c r="CX34" i="5"/>
  <c r="CX103" i="5"/>
  <c r="CX126" i="5"/>
  <c r="H28" i="11"/>
  <c r="BA105" i="5"/>
  <c r="AK105" i="5" s="1"/>
  <c r="CO64" i="5"/>
  <c r="CO87" i="5"/>
  <c r="CO156" i="5"/>
  <c r="CO133" i="5"/>
  <c r="CO41" i="5"/>
  <c r="CO110" i="5"/>
  <c r="DE39" i="4"/>
  <c r="CN55" i="5"/>
  <c r="CN101" i="5"/>
  <c r="CN32" i="5"/>
  <c r="CN78" i="5"/>
  <c r="CN147" i="5"/>
  <c r="CN124" i="5"/>
  <c r="EK30" i="4"/>
  <c r="DU39" i="4"/>
  <c r="CO30" i="4"/>
  <c r="BY30" i="4"/>
  <c r="CN84" i="5"/>
  <c r="CN153" i="5"/>
  <c r="CN61" i="5"/>
  <c r="CN130" i="5"/>
  <c r="CN107" i="5"/>
  <c r="CN38" i="5"/>
  <c r="CS78" i="5"/>
  <c r="CS147" i="5"/>
  <c r="CS55" i="5"/>
  <c r="CS101" i="5"/>
  <c r="CS124" i="5"/>
  <c r="CS32" i="5"/>
  <c r="BP71" i="4"/>
  <c r="BI38" i="4"/>
  <c r="CO21" i="4"/>
  <c r="CS71" i="4"/>
  <c r="R21" i="9"/>
  <c r="Z21" i="9" s="1"/>
  <c r="Y21" i="9"/>
  <c r="AZ75" i="4"/>
  <c r="BA79" i="5"/>
  <c r="BA10" i="5" s="1"/>
  <c r="CL10" i="5" s="1"/>
  <c r="EN71" i="4"/>
  <c r="CO16" i="4"/>
  <c r="CP71" i="4"/>
  <c r="BI39" i="4"/>
  <c r="BH11" i="9"/>
  <c r="BP11" i="9" s="1"/>
  <c r="BO11" i="9"/>
  <c r="CS17" i="4"/>
  <c r="DY17" i="4"/>
  <c r="AS17" i="4"/>
  <c r="EO17" i="4"/>
  <c r="BM17" i="4"/>
  <c r="CC17" i="4"/>
  <c r="DI17" i="4"/>
  <c r="AW73" i="4"/>
  <c r="AW75" i="4" s="1"/>
  <c r="ER71" i="4"/>
  <c r="EK38" i="4"/>
  <c r="EB71" i="4"/>
  <c r="DU38" i="4"/>
  <c r="EK21" i="4"/>
  <c r="EO71" i="4"/>
  <c r="BI16" i="4"/>
  <c r="BJ71" i="4"/>
  <c r="DV71" i="4"/>
  <c r="DU16" i="4"/>
  <c r="CO33" i="4"/>
  <c r="DA73" i="4"/>
  <c r="DE33" i="4"/>
  <c r="CQ73" i="4"/>
  <c r="CO39" i="4"/>
  <c r="BY16" i="4"/>
  <c r="BZ71" i="4"/>
  <c r="BO12" i="9"/>
  <c r="BH12" i="9"/>
  <c r="BP12" i="9" s="1"/>
  <c r="BY33" i="4"/>
  <c r="CU11" i="5"/>
  <c r="BJ19" i="5"/>
  <c r="CU19" i="5" s="1"/>
  <c r="BF19" i="5"/>
  <c r="CQ19" i="5" s="1"/>
  <c r="CQ11" i="5"/>
  <c r="DF71" i="4"/>
  <c r="DE16" i="4"/>
  <c r="EL71" i="4"/>
  <c r="EK16" i="4"/>
  <c r="Y19" i="9"/>
  <c r="R19" i="9"/>
  <c r="Z19" i="9" s="1"/>
  <c r="BY39" i="4"/>
  <c r="EK39" i="4"/>
  <c r="DE30" i="4"/>
  <c r="DU30" i="4"/>
  <c r="DV73" i="4"/>
  <c r="AT14" i="9"/>
  <c r="BB14" i="9" s="1"/>
  <c r="BA14" i="9"/>
  <c r="CP35" i="5"/>
  <c r="CP58" i="5"/>
  <c r="CP104" i="5"/>
  <c r="CP150" i="5"/>
  <c r="CP127" i="5"/>
  <c r="CP81" i="5"/>
  <c r="CO38" i="4"/>
  <c r="CV71" i="4"/>
  <c r="BY21" i="4"/>
  <c r="CC71" i="4"/>
  <c r="DY71" i="4"/>
  <c r="DU21" i="4"/>
  <c r="CV56" i="5"/>
  <c r="CV102" i="5"/>
  <c r="CV33" i="5"/>
  <c r="CV125" i="5"/>
  <c r="CV79" i="5"/>
  <c r="CV148" i="5"/>
  <c r="CV108" i="5"/>
  <c r="CV39" i="5"/>
  <c r="CV131" i="5"/>
  <c r="CV62" i="5"/>
  <c r="CV154" i="5"/>
  <c r="CV85" i="5"/>
  <c r="CM126" i="5"/>
  <c r="CM149" i="5"/>
  <c r="CM57" i="5"/>
  <c r="CM34" i="5"/>
  <c r="CM103" i="5"/>
  <c r="CM80" i="5"/>
  <c r="AT23" i="9"/>
  <c r="BB23" i="9" s="1"/>
  <c r="AW31" i="9"/>
  <c r="AW37" i="9"/>
  <c r="BA23" i="9"/>
  <c r="AW30" i="9"/>
  <c r="EK45" i="4"/>
  <c r="DE45" i="4"/>
  <c r="BI33" i="4"/>
  <c r="G41" i="7" l="1"/>
  <c r="AK157" i="5"/>
  <c r="AK15" i="5" s="1"/>
  <c r="CJ19" i="9" s="1"/>
  <c r="CR19" i="9" s="1"/>
  <c r="AP19" i="5"/>
  <c r="AO19" i="5"/>
  <c r="AW19" i="5"/>
  <c r="CR19" i="5"/>
  <c r="AQ19" i="5"/>
  <c r="CW19" i="5"/>
  <c r="AV19" i="5"/>
  <c r="AN19" i="5"/>
  <c r="H13" i="7"/>
  <c r="E33" i="7" s="1"/>
  <c r="AW39" i="9"/>
  <c r="BA39" i="9" s="1"/>
  <c r="BD39" i="9" s="1"/>
  <c r="AW29" i="9"/>
  <c r="BA29" i="9" s="1"/>
  <c r="BD29" i="9" s="1"/>
  <c r="AM19" i="5"/>
  <c r="H29" i="11"/>
  <c r="AK54" i="5"/>
  <c r="AK8" i="5" s="1"/>
  <c r="CJ12" i="9" s="1"/>
  <c r="CR12" i="9" s="1"/>
  <c r="CI29" i="9"/>
  <c r="AW36" i="9"/>
  <c r="BA36" i="9" s="1"/>
  <c r="BD36" i="9" s="1"/>
  <c r="BJ73" i="4"/>
  <c r="BJ75" i="4" s="1"/>
  <c r="R40" i="9"/>
  <c r="V40" i="9" s="1"/>
  <c r="Z40" i="9" s="1"/>
  <c r="AB40" i="9" s="1"/>
  <c r="AK13" i="5"/>
  <c r="CJ17" i="9" s="1"/>
  <c r="CR17" i="9" s="1"/>
  <c r="CL86" i="5"/>
  <c r="CN182" i="5" s="1"/>
  <c r="AM14" i="9"/>
  <c r="AM34" i="9"/>
  <c r="AP34" i="9" s="1"/>
  <c r="AK79" i="5"/>
  <c r="AK10" i="5" s="1"/>
  <c r="CJ14" i="9" s="1"/>
  <c r="CR14" i="9" s="1"/>
  <c r="BH16" i="9"/>
  <c r="BP16" i="9" s="1"/>
  <c r="BK31" i="9"/>
  <c r="BO31" i="9" s="1"/>
  <c r="BR31" i="9" s="1"/>
  <c r="BK30" i="9"/>
  <c r="BN30" i="9" s="1"/>
  <c r="BK37" i="9"/>
  <c r="BN37" i="9" s="1"/>
  <c r="AW34" i="9"/>
  <c r="BA34" i="9" s="1"/>
  <c r="BD34" i="9" s="1"/>
  <c r="E39" i="7"/>
  <c r="AL29" i="9"/>
  <c r="I15" i="11"/>
  <c r="I27" i="11" s="1"/>
  <c r="I19" i="11"/>
  <c r="I31" i="11" s="1"/>
  <c r="AK171" i="5"/>
  <c r="AK16" i="5" s="1"/>
  <c r="CJ20" i="9" s="1"/>
  <c r="CR20" i="9" s="1"/>
  <c r="CV19" i="5"/>
  <c r="AU19" i="5"/>
  <c r="BA7" i="5"/>
  <c r="CL7" i="5" s="1"/>
  <c r="AK44" i="5"/>
  <c r="AK7" i="5" s="1"/>
  <c r="CJ11" i="9" s="1"/>
  <c r="CR11" i="9" s="1"/>
  <c r="AJ40" i="9"/>
  <c r="AL40" i="9" s="1"/>
  <c r="CL109" i="5"/>
  <c r="AU21" i="9" s="1"/>
  <c r="CI33" i="9"/>
  <c r="CQ33" i="9" s="1"/>
  <c r="CT33" i="9" s="1"/>
  <c r="CX65" i="5"/>
  <c r="CX163" i="5" s="1"/>
  <c r="K33" i="9"/>
  <c r="N33" i="9" s="1"/>
  <c r="BH21" i="9"/>
  <c r="BP21" i="9" s="1"/>
  <c r="BV40" i="9"/>
  <c r="BZ40" i="9" s="1"/>
  <c r="CD40" i="9" s="1"/>
  <c r="CF40" i="9" s="1"/>
  <c r="AT35" i="9"/>
  <c r="N13" i="7"/>
  <c r="G33" i="7" s="1"/>
  <c r="I41" i="7"/>
  <c r="G38" i="7"/>
  <c r="H8" i="12"/>
  <c r="H9" i="12" s="1"/>
  <c r="H10" i="12" s="1"/>
  <c r="K11" i="12"/>
  <c r="K12" i="12" s="1"/>
  <c r="AM36" i="9"/>
  <c r="AP36" i="9" s="1"/>
  <c r="AL36" i="9"/>
  <c r="F38" i="7"/>
  <c r="I11" i="12"/>
  <c r="I12" i="12" s="1"/>
  <c r="I38" i="7"/>
  <c r="AE37" i="9"/>
  <c r="AI37" i="9" s="1"/>
  <c r="K13" i="7"/>
  <c r="F33" i="7" s="1"/>
  <c r="CI38" i="9"/>
  <c r="CQ38" i="9" s="1"/>
  <c r="CT38" i="9" s="1"/>
  <c r="AE39" i="9"/>
  <c r="AI39" i="9" s="1"/>
  <c r="F41" i="7"/>
  <c r="J8" i="12"/>
  <c r="J9" i="12" s="1"/>
  <c r="J10" i="12" s="1"/>
  <c r="J12" i="12" s="1"/>
  <c r="CS19" i="5"/>
  <c r="AR19" i="5"/>
  <c r="I20" i="11"/>
  <c r="I32" i="11" s="1"/>
  <c r="G29" i="11"/>
  <c r="BY29" i="9"/>
  <c r="CC29" i="9" s="1"/>
  <c r="CF29" i="9" s="1"/>
  <c r="D29" i="11"/>
  <c r="BU73" i="4"/>
  <c r="BU75" i="4" s="1"/>
  <c r="H39" i="7"/>
  <c r="BU31" i="9"/>
  <c r="CI31" i="9" s="1"/>
  <c r="BY34" i="9"/>
  <c r="CC34" i="9" s="1"/>
  <c r="CF34" i="9" s="1"/>
  <c r="BH40" i="9"/>
  <c r="BL40" i="9" s="1"/>
  <c r="BP40" i="9" s="1"/>
  <c r="BR40" i="9" s="1"/>
  <c r="BY36" i="9"/>
  <c r="CC36" i="9" s="1"/>
  <c r="CF36" i="9" s="1"/>
  <c r="CE62" i="9"/>
  <c r="CF62" i="9" s="1"/>
  <c r="BY39" i="9"/>
  <c r="CC39" i="9" s="1"/>
  <c r="CF39" i="9" s="1"/>
  <c r="BO18" i="9"/>
  <c r="Q13" i="7"/>
  <c r="H33" i="7" s="1"/>
  <c r="U26" i="7"/>
  <c r="D34" i="7"/>
  <c r="C34" i="7" s="1"/>
  <c r="C29" i="11"/>
  <c r="D39" i="7"/>
  <c r="C37" i="9"/>
  <c r="G37" i="9" s="1"/>
  <c r="J37" i="9" s="1"/>
  <c r="G31" i="9"/>
  <c r="J31" i="9" s="1"/>
  <c r="BA17" i="9"/>
  <c r="AT17" i="9"/>
  <c r="BB17" i="9" s="1"/>
  <c r="CI21" i="9"/>
  <c r="CQ21" i="9" s="1"/>
  <c r="BG39" i="9"/>
  <c r="H41" i="7"/>
  <c r="BA21" i="9"/>
  <c r="AT21" i="9"/>
  <c r="BB21" i="9" s="1"/>
  <c r="BG36" i="9"/>
  <c r="H38" i="7"/>
  <c r="BQ62" i="9"/>
  <c r="BR62" i="9" s="1"/>
  <c r="BK29" i="9"/>
  <c r="BK34" i="9"/>
  <c r="EK56" i="4"/>
  <c r="BY32" i="4"/>
  <c r="CX111" i="5"/>
  <c r="CX165" i="5" s="1"/>
  <c r="D18" i="9"/>
  <c r="L18" i="9" s="1"/>
  <c r="BH22" i="9"/>
  <c r="BP22" i="9" s="1"/>
  <c r="DQ73" i="4"/>
  <c r="DQ75" i="4" s="1"/>
  <c r="CL155" i="5"/>
  <c r="CQ182" i="5" s="1"/>
  <c r="CP73" i="4"/>
  <c r="CP75" i="4" s="1"/>
  <c r="DX73" i="4"/>
  <c r="DX75" i="4" s="1"/>
  <c r="CX88" i="5"/>
  <c r="CX164" i="5" s="1"/>
  <c r="CX73" i="4"/>
  <c r="CX75" i="4" s="1"/>
  <c r="EK32" i="4"/>
  <c r="CL40" i="5"/>
  <c r="CL182" i="5" s="1"/>
  <c r="EM73" i="4"/>
  <c r="EM75" i="4" s="1"/>
  <c r="CX134" i="5"/>
  <c r="CX166" i="5" s="1"/>
  <c r="CL33" i="5"/>
  <c r="E14" i="9" s="1"/>
  <c r="D14" i="9" s="1"/>
  <c r="L14" i="9" s="1"/>
  <c r="DN73" i="4"/>
  <c r="DN75" i="4" s="1"/>
  <c r="DU66" i="4"/>
  <c r="BY56" i="4"/>
  <c r="DU22" i="4"/>
  <c r="CA73" i="4"/>
  <c r="CA75" i="4" s="1"/>
  <c r="DH73" i="4"/>
  <c r="DH75" i="4" s="1"/>
  <c r="DG73" i="4"/>
  <c r="DG75" i="4" s="1"/>
  <c r="BI32" i="4"/>
  <c r="BR73" i="4"/>
  <c r="BR75" i="4" s="1"/>
  <c r="CL41" i="5"/>
  <c r="CL183" i="5" s="1"/>
  <c r="CW88" i="5"/>
  <c r="CW164" i="5" s="1"/>
  <c r="CH73" i="4"/>
  <c r="CH75" i="4" s="1"/>
  <c r="DF73" i="4"/>
  <c r="DF75" i="4" s="1"/>
  <c r="BY22" i="4"/>
  <c r="CX157" i="5"/>
  <c r="CX167" i="5" s="1"/>
  <c r="BB19" i="5"/>
  <c r="AL19" i="5" s="1"/>
  <c r="ED73" i="4"/>
  <c r="ED75" i="4" s="1"/>
  <c r="CL81" i="5"/>
  <c r="CN177" i="5" s="1"/>
  <c r="BK73" i="4"/>
  <c r="BK75" i="4" s="1"/>
  <c r="CS134" i="5"/>
  <c r="CS166" i="5" s="1"/>
  <c r="EW73" i="4"/>
  <c r="EW75" i="4" s="1"/>
  <c r="CQ173" i="5"/>
  <c r="BW12" i="9"/>
  <c r="CO173" i="5"/>
  <c r="AU12" i="9"/>
  <c r="CM76" i="5"/>
  <c r="CL76" i="5" s="1"/>
  <c r="CM145" i="5"/>
  <c r="CL145" i="5" s="1"/>
  <c r="CM53" i="5"/>
  <c r="CL53" i="5" s="1"/>
  <c r="CM122" i="5"/>
  <c r="CL122" i="5" s="1"/>
  <c r="CM30" i="5"/>
  <c r="CL30" i="5" s="1"/>
  <c r="CM99" i="5"/>
  <c r="CL99" i="5" s="1"/>
  <c r="AG12" i="9"/>
  <c r="CN173" i="5"/>
  <c r="E12" i="9"/>
  <c r="CL173" i="5"/>
  <c r="CW65" i="5"/>
  <c r="CW163" i="5" s="1"/>
  <c r="AK14" i="5"/>
  <c r="CJ18" i="9" s="1"/>
  <c r="CR18" i="9" s="1"/>
  <c r="CM182" i="5"/>
  <c r="S21" i="9"/>
  <c r="BI12" i="9"/>
  <c r="CP173" i="5"/>
  <c r="BA17" i="5"/>
  <c r="CL17" i="5" s="1"/>
  <c r="AK17" i="5"/>
  <c r="CJ21" i="9" s="1"/>
  <c r="CR21" i="9" s="1"/>
  <c r="BI21" i="9"/>
  <c r="CP182" i="5"/>
  <c r="CM173" i="5"/>
  <c r="S12" i="9"/>
  <c r="CL79" i="5"/>
  <c r="CN175" i="5" s="1"/>
  <c r="CS42" i="5"/>
  <c r="CS162" i="5" s="1"/>
  <c r="CX42" i="5"/>
  <c r="CX162" i="5" s="1"/>
  <c r="AS73" i="4"/>
  <c r="AS75" i="4" s="1"/>
  <c r="R13" i="9"/>
  <c r="Z13" i="9" s="1"/>
  <c r="Y22" i="9"/>
  <c r="K17" i="9"/>
  <c r="G30" i="9"/>
  <c r="K30" i="9" s="1"/>
  <c r="N30" i="9" s="1"/>
  <c r="R16" i="9"/>
  <c r="Z16" i="9" s="1"/>
  <c r="CI15" i="9"/>
  <c r="CQ15" i="9" s="1"/>
  <c r="BV17" i="9"/>
  <c r="CD17" i="9" s="1"/>
  <c r="CC17" i="9"/>
  <c r="CL58" i="5"/>
  <c r="CM177" i="5" s="1"/>
  <c r="CS157" i="5"/>
  <c r="CS167" i="5" s="1"/>
  <c r="CL130" i="5"/>
  <c r="BI19" i="9" s="1"/>
  <c r="K11" i="9"/>
  <c r="CI11" i="9"/>
  <c r="CQ11" i="9" s="1"/>
  <c r="AT22" i="9"/>
  <c r="BB22" i="9" s="1"/>
  <c r="BA22" i="9"/>
  <c r="AF20" i="9"/>
  <c r="AN20" i="9" s="1"/>
  <c r="AM20" i="9"/>
  <c r="CL131" i="5"/>
  <c r="CP181" i="5" s="1"/>
  <c r="CL56" i="5"/>
  <c r="CM175" i="5" s="1"/>
  <c r="CL154" i="5"/>
  <c r="BW20" i="9" s="1"/>
  <c r="CL127" i="5"/>
  <c r="CP177" i="5" s="1"/>
  <c r="AK66" i="5"/>
  <c r="AK9" i="5" s="1"/>
  <c r="CJ13" i="9" s="1"/>
  <c r="CR13" i="9" s="1"/>
  <c r="AF22" i="9"/>
  <c r="AN22" i="9" s="1"/>
  <c r="AM22" i="9"/>
  <c r="CI16" i="9"/>
  <c r="CQ16" i="9" s="1"/>
  <c r="T13" i="7"/>
  <c r="I33" i="7" s="1"/>
  <c r="BI46" i="4"/>
  <c r="BI74" i="4" s="1"/>
  <c r="BU37" i="9"/>
  <c r="CI17" i="9"/>
  <c r="CI23" i="9"/>
  <c r="CQ23" i="9" s="1"/>
  <c r="CI19" i="9"/>
  <c r="Y12" i="9"/>
  <c r="R12" i="9"/>
  <c r="Z12" i="9" s="1"/>
  <c r="CJ21" i="3"/>
  <c r="U37" i="9"/>
  <c r="Y23" i="9"/>
  <c r="U30" i="9"/>
  <c r="U31" i="9"/>
  <c r="Y31" i="9" s="1"/>
  <c r="AB31" i="9" s="1"/>
  <c r="AI31" i="9"/>
  <c r="AM23" i="9"/>
  <c r="AI30" i="9"/>
  <c r="BV16" i="9"/>
  <c r="CD16" i="9" s="1"/>
  <c r="CC16" i="9"/>
  <c r="BV12" i="9"/>
  <c r="CD12" i="9" s="1"/>
  <c r="CC12" i="9"/>
  <c r="AM17" i="9"/>
  <c r="AF17" i="9"/>
  <c r="AN17" i="9" s="1"/>
  <c r="R20" i="9"/>
  <c r="Z20" i="9" s="1"/>
  <c r="Y20" i="9"/>
  <c r="AM19" i="9"/>
  <c r="AF19" i="9"/>
  <c r="AN19" i="9" s="1"/>
  <c r="BO15" i="9"/>
  <c r="BH15" i="9"/>
  <c r="BP15" i="9" s="1"/>
  <c r="AF21" i="9"/>
  <c r="AN21" i="9" s="1"/>
  <c r="AM21" i="9"/>
  <c r="BA13" i="5"/>
  <c r="CL13" i="5" s="1"/>
  <c r="Y14" i="9"/>
  <c r="AF16" i="9"/>
  <c r="AN16" i="9" s="1"/>
  <c r="AM16" i="9"/>
  <c r="R18" i="9"/>
  <c r="Z18" i="9" s="1"/>
  <c r="Y18" i="9"/>
  <c r="R17" i="9"/>
  <c r="Z17" i="9" s="1"/>
  <c r="Y17" i="9"/>
  <c r="R15" i="9"/>
  <c r="Z15" i="9" s="1"/>
  <c r="Y15" i="9"/>
  <c r="CS88" i="5"/>
  <c r="CS164" i="5" s="1"/>
  <c r="CL107" i="5"/>
  <c r="AU19" i="9" s="1"/>
  <c r="CL133" i="5"/>
  <c r="BI22" i="9" s="1"/>
  <c r="CW157" i="5"/>
  <c r="CW167" i="5" s="1"/>
  <c r="DU46" i="4"/>
  <c r="DU74" i="4" s="1"/>
  <c r="DM74" i="4"/>
  <c r="DM75" i="4" s="1"/>
  <c r="BY46" i="4"/>
  <c r="BY74" i="4" s="1"/>
  <c r="EK46" i="4"/>
  <c r="EK74" i="4" s="1"/>
  <c r="EF75" i="4"/>
  <c r="BI18" i="9"/>
  <c r="BJ18" i="9" s="1"/>
  <c r="CP179" i="5"/>
  <c r="BV14" i="9"/>
  <c r="CD14" i="9" s="1"/>
  <c r="CC14" i="9"/>
  <c r="BV20" i="9"/>
  <c r="CD20" i="9" s="1"/>
  <c r="CC20" i="9"/>
  <c r="BY37" i="9"/>
  <c r="BY31" i="9"/>
  <c r="BY30" i="9"/>
  <c r="CC23" i="9"/>
  <c r="CL62" i="5"/>
  <c r="CM181" i="5" s="1"/>
  <c r="CV157" i="5"/>
  <c r="CV167" i="5" s="1"/>
  <c r="CV111" i="5"/>
  <c r="CV165" i="5" s="1"/>
  <c r="CL35" i="5"/>
  <c r="E16" i="9" s="1"/>
  <c r="CL38" i="5"/>
  <c r="CL180" i="5" s="1"/>
  <c r="CN42" i="5"/>
  <c r="CN162" i="5" s="1"/>
  <c r="CL156" i="5"/>
  <c r="CQ183" i="5" s="1"/>
  <c r="BV11" i="9"/>
  <c r="CD11" i="9" s="1"/>
  <c r="CC11" i="9"/>
  <c r="BV19" i="9"/>
  <c r="CD19" i="9" s="1"/>
  <c r="CC19" i="9"/>
  <c r="CL110" i="5"/>
  <c r="CO183" i="5" s="1"/>
  <c r="CL87" i="5"/>
  <c r="AG22" i="9" s="1"/>
  <c r="BO20" i="9"/>
  <c r="D22" i="9"/>
  <c r="L22" i="9" s="1"/>
  <c r="K22" i="9"/>
  <c r="D12" i="9"/>
  <c r="L12" i="9" s="1"/>
  <c r="K12" i="9"/>
  <c r="CI12" i="9"/>
  <c r="BO19" i="9"/>
  <c r="BH19" i="9"/>
  <c r="BP19" i="9" s="1"/>
  <c r="BH17" i="9"/>
  <c r="BP17" i="9" s="1"/>
  <c r="BO17" i="9"/>
  <c r="CL84" i="5"/>
  <c r="AG19" i="9" s="1"/>
  <c r="BO13" i="9"/>
  <c r="K19" i="9"/>
  <c r="D19" i="9"/>
  <c r="L19" i="9" s="1"/>
  <c r="CL150" i="5"/>
  <c r="BW16" i="9" s="1"/>
  <c r="CL153" i="5"/>
  <c r="BW19" i="9" s="1"/>
  <c r="CL61" i="5"/>
  <c r="CM180" i="5" s="1"/>
  <c r="K14" i="9"/>
  <c r="H40" i="9"/>
  <c r="BV18" i="9"/>
  <c r="CD18" i="9" s="1"/>
  <c r="CC18" i="9"/>
  <c r="CI18" i="9"/>
  <c r="K15" i="9"/>
  <c r="K20" i="9"/>
  <c r="CI20" i="9"/>
  <c r="CI13" i="9"/>
  <c r="K13" i="9"/>
  <c r="CC22" i="9"/>
  <c r="BV22" i="9"/>
  <c r="CD22" i="9" s="1"/>
  <c r="CI22" i="9"/>
  <c r="CT82" i="5"/>
  <c r="CT59" i="5"/>
  <c r="CT65" i="5" s="1"/>
  <c r="CT163" i="5" s="1"/>
  <c r="CT105" i="5"/>
  <c r="CT36" i="5"/>
  <c r="CT42" i="5" s="1"/>
  <c r="CT162" i="5" s="1"/>
  <c r="CT151" i="5"/>
  <c r="CT128" i="5"/>
  <c r="D16" i="9"/>
  <c r="L16" i="9" s="1"/>
  <c r="K16" i="9"/>
  <c r="BV13" i="9"/>
  <c r="CD13" i="9" s="1"/>
  <c r="CC13" i="9"/>
  <c r="CI14" i="9"/>
  <c r="E18" i="9"/>
  <c r="F18" i="9" s="1"/>
  <c r="CL148" i="5"/>
  <c r="BW14" i="9" s="1"/>
  <c r="CL108" i="5"/>
  <c r="CO181" i="5" s="1"/>
  <c r="CS65" i="5"/>
  <c r="CS163" i="5" s="1"/>
  <c r="CN157" i="5"/>
  <c r="CN167" i="5" s="1"/>
  <c r="CL64" i="5"/>
  <c r="S22" i="9" s="1"/>
  <c r="CW42" i="5"/>
  <c r="CW162" i="5" s="1"/>
  <c r="CW134" i="5"/>
  <c r="CW166" i="5" s="1"/>
  <c r="CL85" i="5"/>
  <c r="CN181" i="5" s="1"/>
  <c r="CL39" i="5"/>
  <c r="E20" i="9" s="1"/>
  <c r="D20" i="9" s="1"/>
  <c r="L20" i="9" s="1"/>
  <c r="CV134" i="5"/>
  <c r="CV166" i="5" s="1"/>
  <c r="CL104" i="5"/>
  <c r="CO177" i="5" s="1"/>
  <c r="CS111" i="5"/>
  <c r="CS165" i="5" s="1"/>
  <c r="CW111" i="5"/>
  <c r="CW165" i="5" s="1"/>
  <c r="CI75" i="4"/>
  <c r="BO75" i="4"/>
  <c r="CJ75" i="4"/>
  <c r="BS75" i="4"/>
  <c r="CF75" i="4"/>
  <c r="DJ75" i="4"/>
  <c r="EQ75" i="4"/>
  <c r="EV75" i="4"/>
  <c r="CW75" i="4"/>
  <c r="BT75" i="4"/>
  <c r="EG75" i="4"/>
  <c r="CT75" i="4"/>
  <c r="EP75" i="4"/>
  <c r="EA75" i="4"/>
  <c r="DW75" i="4"/>
  <c r="CU75" i="4"/>
  <c r="DP75" i="4"/>
  <c r="EE75" i="4"/>
  <c r="BQ75" i="4"/>
  <c r="CZ75" i="4"/>
  <c r="EB75" i="4"/>
  <c r="EN75" i="4"/>
  <c r="BP75" i="4"/>
  <c r="CB75" i="4"/>
  <c r="CD75" i="4"/>
  <c r="CY75" i="4"/>
  <c r="DZ75" i="4"/>
  <c r="CK75" i="4"/>
  <c r="DE74" i="4"/>
  <c r="CE75" i="4"/>
  <c r="BL75" i="4"/>
  <c r="CG75" i="4"/>
  <c r="CV75" i="4"/>
  <c r="BN75" i="4"/>
  <c r="CO74" i="4"/>
  <c r="EC75" i="4"/>
  <c r="CQ75" i="4"/>
  <c r="ER75" i="4"/>
  <c r="I16" i="11"/>
  <c r="I28" i="11" s="1"/>
  <c r="DL75" i="4"/>
  <c r="DO75" i="4"/>
  <c r="CR75" i="4"/>
  <c r="ET75" i="4"/>
  <c r="ES75" i="4"/>
  <c r="EK71" i="4"/>
  <c r="BZ75" i="4"/>
  <c r="EU75" i="4"/>
  <c r="DK75" i="4"/>
  <c r="CI30" i="9"/>
  <c r="EL75" i="4"/>
  <c r="DA75" i="4"/>
  <c r="DE71" i="4"/>
  <c r="BI71" i="4"/>
  <c r="BA30" i="9"/>
  <c r="BD30" i="9" s="1"/>
  <c r="BA31" i="9"/>
  <c r="BD31" i="9" s="1"/>
  <c r="CC73" i="4"/>
  <c r="CC75" i="4" s="1"/>
  <c r="BY17" i="4"/>
  <c r="DU17" i="4"/>
  <c r="DY73" i="4"/>
  <c r="DY75" i="4" s="1"/>
  <c r="CN179" i="5"/>
  <c r="AG18" i="9"/>
  <c r="CO149" i="5"/>
  <c r="CO157" i="5" s="1"/>
  <c r="CO167" i="5" s="1"/>
  <c r="CO57" i="5"/>
  <c r="CO65" i="5" s="1"/>
  <c r="CO163" i="5" s="1"/>
  <c r="CO126" i="5"/>
  <c r="CO134" i="5" s="1"/>
  <c r="CO166" i="5" s="1"/>
  <c r="CO103" i="5"/>
  <c r="CO111" i="5" s="1"/>
  <c r="CO165" i="5" s="1"/>
  <c r="CO80" i="5"/>
  <c r="CO88" i="5" s="1"/>
  <c r="CO164" i="5" s="1"/>
  <c r="CO34" i="5"/>
  <c r="CO42" i="5" s="1"/>
  <c r="CO162" i="5" s="1"/>
  <c r="CP124" i="5"/>
  <c r="CP134" i="5" s="1"/>
  <c r="CP166" i="5" s="1"/>
  <c r="CP55" i="5"/>
  <c r="CP65" i="5" s="1"/>
  <c r="CP163" i="5" s="1"/>
  <c r="CP101" i="5"/>
  <c r="CP111" i="5" s="1"/>
  <c r="CP165" i="5" s="1"/>
  <c r="CP147" i="5"/>
  <c r="CP157" i="5" s="1"/>
  <c r="CP167" i="5" s="1"/>
  <c r="CP78" i="5"/>
  <c r="CP88" i="5" s="1"/>
  <c r="CP164" i="5" s="1"/>
  <c r="CP32" i="5"/>
  <c r="CP42" i="5" s="1"/>
  <c r="CP162" i="5" s="1"/>
  <c r="CM147" i="5"/>
  <c r="CM78" i="5"/>
  <c r="CM101" i="5"/>
  <c r="CM55" i="5"/>
  <c r="CM124" i="5"/>
  <c r="CM32" i="5"/>
  <c r="CV88" i="5"/>
  <c r="CV164" i="5" s="1"/>
  <c r="CV65" i="5"/>
  <c r="CV163" i="5" s="1"/>
  <c r="CL102" i="5"/>
  <c r="CN134" i="5"/>
  <c r="CN166" i="5" s="1"/>
  <c r="CN111" i="5"/>
  <c r="CN165" i="5" s="1"/>
  <c r="BM73" i="4"/>
  <c r="BM75" i="4" s="1"/>
  <c r="BI17" i="4"/>
  <c r="BA37" i="9"/>
  <c r="BD37" i="9" s="1"/>
  <c r="DE17" i="4"/>
  <c r="DE73" i="4" s="1"/>
  <c r="DI73" i="4"/>
  <c r="DI75" i="4" s="1"/>
  <c r="CM179" i="5"/>
  <c r="S18" i="9"/>
  <c r="CO179" i="5"/>
  <c r="AU18" i="9"/>
  <c r="CN65" i="5"/>
  <c r="CN163" i="5" s="1"/>
  <c r="CO71" i="4"/>
  <c r="CS73" i="4"/>
  <c r="CS75" i="4" s="1"/>
  <c r="CO17" i="4"/>
  <c r="CO73" i="4" s="1"/>
  <c r="D33" i="7"/>
  <c r="CQ149" i="5"/>
  <c r="CQ157" i="5" s="1"/>
  <c r="CQ167" i="5" s="1"/>
  <c r="CQ57" i="5"/>
  <c r="CQ65" i="5" s="1"/>
  <c r="CQ163" i="5" s="1"/>
  <c r="CQ126" i="5"/>
  <c r="CQ134" i="5" s="1"/>
  <c r="CQ166" i="5" s="1"/>
  <c r="CQ103" i="5"/>
  <c r="CQ111" i="5" s="1"/>
  <c r="CQ165" i="5" s="1"/>
  <c r="CQ80" i="5"/>
  <c r="CQ88" i="5" s="1"/>
  <c r="CQ164" i="5" s="1"/>
  <c r="CQ34" i="5"/>
  <c r="CQ42" i="5" s="1"/>
  <c r="CQ162" i="5" s="1"/>
  <c r="BW18" i="9"/>
  <c r="CQ179" i="5"/>
  <c r="CU103" i="5"/>
  <c r="CU111" i="5" s="1"/>
  <c r="CU165" i="5" s="1"/>
  <c r="CU57" i="5"/>
  <c r="CU65" i="5" s="1"/>
  <c r="CU163" i="5" s="1"/>
  <c r="CU34" i="5"/>
  <c r="CU42" i="5" s="1"/>
  <c r="CU162" i="5" s="1"/>
  <c r="CU149" i="5"/>
  <c r="CU157" i="5" s="1"/>
  <c r="CU167" i="5" s="1"/>
  <c r="CU80" i="5"/>
  <c r="CU88" i="5" s="1"/>
  <c r="CU164" i="5" s="1"/>
  <c r="CU126" i="5"/>
  <c r="CU134" i="5" s="1"/>
  <c r="CU166" i="5" s="1"/>
  <c r="EK17" i="4"/>
  <c r="EO73" i="4"/>
  <c r="EO75" i="4" s="1"/>
  <c r="AK11" i="5"/>
  <c r="CJ15" i="9" s="1"/>
  <c r="CR15" i="9" s="1"/>
  <c r="BA11" i="5"/>
  <c r="DU71" i="4"/>
  <c r="CL125" i="5"/>
  <c r="CV42" i="5"/>
  <c r="CV162" i="5" s="1"/>
  <c r="BY71" i="4"/>
  <c r="DV75" i="4"/>
  <c r="CN88" i="5"/>
  <c r="CN164" i="5" s="1"/>
  <c r="AG21" i="9" l="1"/>
  <c r="CK19" i="9"/>
  <c r="CX16" i="9" s="1"/>
  <c r="CZ16" i="9" s="1"/>
  <c r="DA16" i="9" s="1"/>
  <c r="AX35" i="9"/>
  <c r="BB35" i="9" s="1"/>
  <c r="BD35" i="9" s="1"/>
  <c r="CK17" i="9"/>
  <c r="CL17" i="9" s="1"/>
  <c r="CK14" i="9"/>
  <c r="CX11" i="9" s="1"/>
  <c r="CZ11" i="9" s="1"/>
  <c r="DA11" i="9" s="1"/>
  <c r="BO37" i="9"/>
  <c r="BR37" i="9" s="1"/>
  <c r="C39" i="7"/>
  <c r="BO30" i="9"/>
  <c r="BR30" i="9" s="1"/>
  <c r="BN31" i="9"/>
  <c r="C41" i="7"/>
  <c r="AX28" i="9"/>
  <c r="AY41" i="9" s="1"/>
  <c r="C38" i="7"/>
  <c r="E21" i="9"/>
  <c r="DB18" i="9" s="1"/>
  <c r="DD18" i="9" s="1"/>
  <c r="DE18" i="9" s="1"/>
  <c r="CL175" i="5"/>
  <c r="C33" i="7"/>
  <c r="AN40" i="9"/>
  <c r="AP40" i="9" s="1"/>
  <c r="CO182" i="5"/>
  <c r="M10" i="12"/>
  <c r="M11" i="12"/>
  <c r="CI39" i="9"/>
  <c r="AF35" i="9"/>
  <c r="M8" i="12"/>
  <c r="M9" i="12"/>
  <c r="AM39" i="9"/>
  <c r="AP39" i="9" s="1"/>
  <c r="AL39" i="9"/>
  <c r="CC31" i="9"/>
  <c r="CF31" i="9" s="1"/>
  <c r="BN40" i="9"/>
  <c r="CJ40" i="9"/>
  <c r="K31" i="9"/>
  <c r="N31" i="9" s="1"/>
  <c r="BZ35" i="9"/>
  <c r="BK39" i="9"/>
  <c r="BN39" i="9" s="1"/>
  <c r="I17" i="11"/>
  <c r="I29" i="11" s="1"/>
  <c r="D35" i="9"/>
  <c r="CI37" i="9"/>
  <c r="CN183" i="5"/>
  <c r="CI36" i="9"/>
  <c r="BH35" i="9"/>
  <c r="BK36" i="9"/>
  <c r="CM36" i="9" s="1"/>
  <c r="BN29" i="9"/>
  <c r="BO29" i="9"/>
  <c r="BR29" i="9" s="1"/>
  <c r="CM29" i="9"/>
  <c r="BL28" i="9"/>
  <c r="BN28" i="9" s="1"/>
  <c r="BO34" i="9"/>
  <c r="BR34" i="9" s="1"/>
  <c r="BN34" i="9"/>
  <c r="CM34" i="9"/>
  <c r="CK21" i="9"/>
  <c r="CL21" i="9" s="1"/>
  <c r="CP180" i="5"/>
  <c r="BI73" i="4"/>
  <c r="BI75" i="4" s="1"/>
  <c r="BI20" i="9"/>
  <c r="BQ20" i="9" s="1"/>
  <c r="BR20" i="9" s="1"/>
  <c r="J30" i="9"/>
  <c r="BW21" i="9"/>
  <c r="DV18" i="9" s="1"/>
  <c r="DX18" i="9" s="1"/>
  <c r="DY18" i="9" s="1"/>
  <c r="EK73" i="4"/>
  <c r="EK75" i="4" s="1"/>
  <c r="S10" i="7" s="1"/>
  <c r="BU32" i="9" s="1"/>
  <c r="E19" i="9"/>
  <c r="DB16" i="9" s="1"/>
  <c r="DD16" i="9" s="1"/>
  <c r="DE16" i="9" s="1"/>
  <c r="E22" i="9"/>
  <c r="M22" i="9" s="1"/>
  <c r="N22" i="9" s="1"/>
  <c r="CM19" i="5"/>
  <c r="DU73" i="4"/>
  <c r="DU75" i="4" s="1"/>
  <c r="P10" i="7" s="1"/>
  <c r="BG32" i="9" s="1"/>
  <c r="CO180" i="5"/>
  <c r="S20" i="9"/>
  <c r="DF17" i="9" s="1"/>
  <c r="DH17" i="9" s="1"/>
  <c r="DI17" i="9" s="1"/>
  <c r="CP183" i="5"/>
  <c r="AG16" i="9"/>
  <c r="AH16" i="9" s="1"/>
  <c r="AG14" i="9"/>
  <c r="DJ11" i="9" s="1"/>
  <c r="DL11" i="9" s="1"/>
  <c r="DM11" i="9" s="1"/>
  <c r="S16" i="9"/>
  <c r="T16" i="9" s="1"/>
  <c r="BY73" i="4"/>
  <c r="BY75" i="4" s="1"/>
  <c r="G10" i="7" s="1"/>
  <c r="M18" i="9"/>
  <c r="N18" i="9" s="1"/>
  <c r="DR15" i="9"/>
  <c r="DT15" i="9" s="1"/>
  <c r="DU15" i="9" s="1"/>
  <c r="AH21" i="9"/>
  <c r="DJ18" i="9"/>
  <c r="DL18" i="9" s="1"/>
  <c r="DM18" i="9" s="1"/>
  <c r="AO21" i="9"/>
  <c r="AP21" i="9" s="1"/>
  <c r="DR9" i="9"/>
  <c r="DT9" i="9" s="1"/>
  <c r="DU9" i="9" s="1"/>
  <c r="BQ12" i="9"/>
  <c r="BR12" i="9" s="1"/>
  <c r="BJ12" i="9"/>
  <c r="AO12" i="9"/>
  <c r="AP12" i="9" s="1"/>
  <c r="AH12" i="9"/>
  <c r="DJ9" i="9"/>
  <c r="DL9" i="9" s="1"/>
  <c r="DM9" i="9" s="1"/>
  <c r="S11" i="9"/>
  <c r="CM172" i="5"/>
  <c r="AA12" i="9"/>
  <c r="AB12" i="9" s="1"/>
  <c r="T12" i="9"/>
  <c r="DF9" i="9"/>
  <c r="DH9" i="9" s="1"/>
  <c r="DI9" i="9" s="1"/>
  <c r="BI11" i="9"/>
  <c r="CP172" i="5"/>
  <c r="DN18" i="9"/>
  <c r="DP18" i="9" s="1"/>
  <c r="DQ18" i="9" s="1"/>
  <c r="BC21" i="9"/>
  <c r="BD21" i="9" s="1"/>
  <c r="AV21" i="9"/>
  <c r="DV9" i="9"/>
  <c r="DX9" i="9" s="1"/>
  <c r="DY9" i="9" s="1"/>
  <c r="CE12" i="9"/>
  <c r="CF12" i="9" s="1"/>
  <c r="BX12" i="9"/>
  <c r="F21" i="9"/>
  <c r="BJ21" i="9"/>
  <c r="DR18" i="9"/>
  <c r="DT18" i="9" s="1"/>
  <c r="DU18" i="9" s="1"/>
  <c r="BQ21" i="9"/>
  <c r="BR21" i="9" s="1"/>
  <c r="M12" i="9"/>
  <c r="N12" i="9" s="1"/>
  <c r="DB9" i="9"/>
  <c r="DD9" i="9" s="1"/>
  <c r="DE9" i="9" s="1"/>
  <c r="E11" i="9"/>
  <c r="D11" i="9" s="1"/>
  <c r="L11" i="9" s="1"/>
  <c r="CL172" i="5"/>
  <c r="AG11" i="9"/>
  <c r="AF11" i="9" s="1"/>
  <c r="AN11" i="9" s="1"/>
  <c r="CN172" i="5"/>
  <c r="S14" i="9"/>
  <c r="DF18" i="9"/>
  <c r="DH18" i="9" s="1"/>
  <c r="DI18" i="9" s="1"/>
  <c r="AA21" i="9"/>
  <c r="AB21" i="9" s="1"/>
  <c r="T21" i="9"/>
  <c r="CO172" i="5"/>
  <c r="AU11" i="9"/>
  <c r="BW11" i="9"/>
  <c r="CQ172" i="5"/>
  <c r="AV12" i="9"/>
  <c r="BC12" i="9"/>
  <c r="BD12" i="9" s="1"/>
  <c r="DN9" i="9"/>
  <c r="DP9" i="9" s="1"/>
  <c r="DQ9" i="9" s="1"/>
  <c r="CN180" i="5"/>
  <c r="CL177" i="5"/>
  <c r="CK16" i="9"/>
  <c r="CX13" i="9" s="1"/>
  <c r="CZ13" i="9" s="1"/>
  <c r="DA13" i="9" s="1"/>
  <c r="CQ19" i="9"/>
  <c r="H28" i="9"/>
  <c r="J28" i="9" s="1"/>
  <c r="AU22" i="9"/>
  <c r="BC22" i="9" s="1"/>
  <c r="BD22" i="9" s="1"/>
  <c r="CK11" i="9"/>
  <c r="CS11" i="9" s="1"/>
  <c r="CT11" i="9" s="1"/>
  <c r="CQ17" i="9"/>
  <c r="DB15" i="9"/>
  <c r="DD15" i="9" s="1"/>
  <c r="DE15" i="9" s="1"/>
  <c r="CQ181" i="5"/>
  <c r="BI16" i="9"/>
  <c r="DR13" i="9" s="1"/>
  <c r="DT13" i="9" s="1"/>
  <c r="DU13" i="9" s="1"/>
  <c r="BQ18" i="9"/>
  <c r="BR18" i="9" s="1"/>
  <c r="AU16" i="9"/>
  <c r="DN13" i="9" s="1"/>
  <c r="DP13" i="9" s="1"/>
  <c r="DQ13" i="9" s="1"/>
  <c r="AG20" i="9"/>
  <c r="DJ17" i="9" s="1"/>
  <c r="DL17" i="9" s="1"/>
  <c r="DM17" i="9" s="1"/>
  <c r="BW22" i="9"/>
  <c r="CE22" i="9" s="1"/>
  <c r="CF22" i="9" s="1"/>
  <c r="H35" i="9"/>
  <c r="J35" i="9" s="1"/>
  <c r="K37" i="9"/>
  <c r="N37" i="9" s="1"/>
  <c r="U13" i="7"/>
  <c r="BV35" i="9"/>
  <c r="CQ14" i="9"/>
  <c r="AL30" i="9"/>
  <c r="AM30" i="9"/>
  <c r="AP30" i="9" s="1"/>
  <c r="AJ28" i="9"/>
  <c r="AL31" i="9"/>
  <c r="AM31" i="9"/>
  <c r="AP31" i="9" s="1"/>
  <c r="CQ177" i="5"/>
  <c r="AU20" i="9"/>
  <c r="DN17" i="9" s="1"/>
  <c r="DP17" i="9" s="1"/>
  <c r="DQ17" i="9" s="1"/>
  <c r="CQ180" i="5"/>
  <c r="Y30" i="9"/>
  <c r="AB30" i="9" s="1"/>
  <c r="V28" i="9"/>
  <c r="AM37" i="9"/>
  <c r="AP37" i="9" s="1"/>
  <c r="AL37" i="9"/>
  <c r="AJ35" i="9"/>
  <c r="V35" i="9"/>
  <c r="Z35" i="9" s="1"/>
  <c r="AB35" i="9" s="1"/>
  <c r="Y37" i="9"/>
  <c r="AB37" i="9" s="1"/>
  <c r="CM30" i="9"/>
  <c r="CQ30" i="9" s="1"/>
  <c r="CT30" i="9" s="1"/>
  <c r="CM31" i="9"/>
  <c r="CQ31" i="9" s="1"/>
  <c r="CT31" i="9" s="1"/>
  <c r="CC37" i="9"/>
  <c r="CF37" i="9" s="1"/>
  <c r="CM37" i="9"/>
  <c r="S19" i="9"/>
  <c r="DF16" i="9" s="1"/>
  <c r="DH16" i="9" s="1"/>
  <c r="DI16" i="9" s="1"/>
  <c r="CM183" i="5"/>
  <c r="CL36" i="5"/>
  <c r="CL178" i="5" s="1"/>
  <c r="BZ28" i="9"/>
  <c r="CC30" i="9"/>
  <c r="CF30" i="9" s="1"/>
  <c r="CQ175" i="5"/>
  <c r="CQ12" i="9"/>
  <c r="CK12" i="9"/>
  <c r="CL151" i="5"/>
  <c r="CT157" i="5"/>
  <c r="CT167" i="5" s="1"/>
  <c r="CT88" i="5"/>
  <c r="CT164" i="5" s="1"/>
  <c r="CL82" i="5"/>
  <c r="CQ18" i="9"/>
  <c r="CK18" i="9"/>
  <c r="L40" i="9"/>
  <c r="N40" i="9" s="1"/>
  <c r="J40" i="9"/>
  <c r="CN40" i="9"/>
  <c r="CT134" i="5"/>
  <c r="CT166" i="5" s="1"/>
  <c r="CL128" i="5"/>
  <c r="CK20" i="9"/>
  <c r="CQ20" i="9"/>
  <c r="CL80" i="5"/>
  <c r="AG15" i="9" s="1"/>
  <c r="AF15" i="9" s="1"/>
  <c r="AN15" i="9" s="1"/>
  <c r="CL181" i="5"/>
  <c r="CL59" i="5"/>
  <c r="CT111" i="5"/>
  <c r="CT165" i="5" s="1"/>
  <c r="CL105" i="5"/>
  <c r="CK13" i="9"/>
  <c r="CQ13" i="9"/>
  <c r="CL126" i="5"/>
  <c r="BI15" i="9" s="1"/>
  <c r="CK22" i="9"/>
  <c r="CQ22" i="9"/>
  <c r="DE75" i="4"/>
  <c r="M10" i="7" s="1"/>
  <c r="G40" i="7" s="1"/>
  <c r="DJ16" i="9"/>
  <c r="DL16" i="9" s="1"/>
  <c r="DM16" i="9" s="1"/>
  <c r="AH19" i="9"/>
  <c r="AO19" i="9"/>
  <c r="AP19" i="9" s="1"/>
  <c r="M14" i="9"/>
  <c r="N14" i="9" s="1"/>
  <c r="DB11" i="9"/>
  <c r="DD11" i="9" s="1"/>
  <c r="DE11" i="9" s="1"/>
  <c r="BJ22" i="9"/>
  <c r="DR19" i="9"/>
  <c r="DT19" i="9" s="1"/>
  <c r="DU19" i="9" s="1"/>
  <c r="BQ22" i="9"/>
  <c r="BR22" i="9" s="1"/>
  <c r="DV16" i="9"/>
  <c r="DX16" i="9" s="1"/>
  <c r="DY16" i="9" s="1"/>
  <c r="CE19" i="9"/>
  <c r="CF19" i="9" s="1"/>
  <c r="BX19" i="9"/>
  <c r="AU14" i="9"/>
  <c r="CO175" i="5"/>
  <c r="CL32" i="5"/>
  <c r="CM42" i="5"/>
  <c r="CM162" i="5" s="1"/>
  <c r="CM88" i="5"/>
  <c r="CM164" i="5" s="1"/>
  <c r="CL78" i="5"/>
  <c r="DV13" i="9"/>
  <c r="DX13" i="9" s="1"/>
  <c r="DY13" i="9" s="1"/>
  <c r="CE16" i="9"/>
  <c r="CF16" i="9" s="1"/>
  <c r="BX16" i="9"/>
  <c r="M20" i="9"/>
  <c r="N20" i="9" s="1"/>
  <c r="DB17" i="9"/>
  <c r="DD17" i="9" s="1"/>
  <c r="DE17" i="9" s="1"/>
  <c r="DN16" i="9"/>
  <c r="DP16" i="9" s="1"/>
  <c r="DQ16" i="9" s="1"/>
  <c r="BC19" i="9"/>
  <c r="BD19" i="9" s="1"/>
  <c r="AV19" i="9"/>
  <c r="H12" i="12"/>
  <c r="M12" i="12" s="1"/>
  <c r="CL147" i="5"/>
  <c r="CM157" i="5"/>
  <c r="CM167" i="5" s="1"/>
  <c r="M16" i="9"/>
  <c r="N16" i="9" s="1"/>
  <c r="DB13" i="9"/>
  <c r="DD13" i="9" s="1"/>
  <c r="DE13" i="9" s="1"/>
  <c r="F16" i="9"/>
  <c r="T18" i="9"/>
  <c r="AA18" i="9"/>
  <c r="AB18" i="9" s="1"/>
  <c r="DF15" i="9"/>
  <c r="DH15" i="9" s="1"/>
  <c r="DI15" i="9" s="1"/>
  <c r="CL101" i="5"/>
  <c r="CM111" i="5"/>
  <c r="CM165" i="5" s="1"/>
  <c r="T22" i="9"/>
  <c r="AA22" i="9"/>
  <c r="AB22" i="9" s="1"/>
  <c r="DF19" i="9"/>
  <c r="DH19" i="9" s="1"/>
  <c r="DI19" i="9" s="1"/>
  <c r="CL149" i="5"/>
  <c r="CL11" i="5"/>
  <c r="BA19" i="5"/>
  <c r="DR16" i="9"/>
  <c r="DT16" i="9" s="1"/>
  <c r="DU16" i="9" s="1"/>
  <c r="BQ19" i="9"/>
  <c r="BR19" i="9" s="1"/>
  <c r="DV11" i="9"/>
  <c r="DX11" i="9" s="1"/>
  <c r="DY11" i="9" s="1"/>
  <c r="BX14" i="9"/>
  <c r="CE14" i="9"/>
  <c r="CF14" i="9" s="1"/>
  <c r="CL124" i="5"/>
  <c r="CM134" i="5"/>
  <c r="CM166" i="5" s="1"/>
  <c r="CP175" i="5"/>
  <c r="BI14" i="9"/>
  <c r="BH14" i="9" s="1"/>
  <c r="BP14" i="9" s="1"/>
  <c r="DV17" i="9"/>
  <c r="DX17" i="9" s="1"/>
  <c r="DY17" i="9" s="1"/>
  <c r="CE20" i="9"/>
  <c r="CF20" i="9" s="1"/>
  <c r="BX20" i="9"/>
  <c r="BX18" i="9"/>
  <c r="DV15" i="9"/>
  <c r="DX15" i="9" s="1"/>
  <c r="DY15" i="9" s="1"/>
  <c r="CE18" i="9"/>
  <c r="CF18" i="9" s="1"/>
  <c r="AV18" i="9"/>
  <c r="DN15" i="9"/>
  <c r="DP15" i="9" s="1"/>
  <c r="DQ15" i="9" s="1"/>
  <c r="BC18" i="9"/>
  <c r="BD18" i="9" s="1"/>
  <c r="AO22" i="9"/>
  <c r="AP22" i="9" s="1"/>
  <c r="DJ19" i="9"/>
  <c r="DL19" i="9" s="1"/>
  <c r="DM19" i="9" s="1"/>
  <c r="AH22" i="9"/>
  <c r="CM65" i="5"/>
  <c r="CM163" i="5" s="1"/>
  <c r="CL55" i="5"/>
  <c r="AO18" i="9"/>
  <c r="AP18" i="9" s="1"/>
  <c r="DJ15" i="9"/>
  <c r="DL15" i="9" s="1"/>
  <c r="DM15" i="9" s="1"/>
  <c r="AH18" i="9"/>
  <c r="CL57" i="5"/>
  <c r="CL34" i="5"/>
  <c r="CK15" i="9"/>
  <c r="CO75" i="4"/>
  <c r="J10" i="7" s="1"/>
  <c r="CL103" i="5"/>
  <c r="CS19" i="9" l="1"/>
  <c r="CT19" i="9" s="1"/>
  <c r="CS14" i="9"/>
  <c r="CT14" i="9" s="1"/>
  <c r="T14" i="9"/>
  <c r="R14" i="9"/>
  <c r="Z14" i="9" s="1"/>
  <c r="D10" i="7"/>
  <c r="C32" i="9" s="1"/>
  <c r="D28" i="9" s="1"/>
  <c r="CS17" i="9"/>
  <c r="CT17" i="9" s="1"/>
  <c r="CX14" i="9"/>
  <c r="CZ14" i="9" s="1"/>
  <c r="DA14" i="9" s="1"/>
  <c r="M21" i="9"/>
  <c r="N21" i="9" s="1"/>
  <c r="DR17" i="9"/>
  <c r="DT17" i="9" s="1"/>
  <c r="DU17" i="9" s="1"/>
  <c r="BH20" i="9"/>
  <c r="BP20" i="9" s="1"/>
  <c r="BO39" i="9"/>
  <c r="BR39" i="9" s="1"/>
  <c r="CA41" i="9"/>
  <c r="DW24" i="9" s="1"/>
  <c r="CD35" i="9"/>
  <c r="CF35" i="9" s="1"/>
  <c r="BN36" i="9"/>
  <c r="CM39" i="9"/>
  <c r="CP39" i="9" s="1"/>
  <c r="BL35" i="9"/>
  <c r="BM41" i="9" s="1"/>
  <c r="CS21" i="9"/>
  <c r="CT21" i="9" s="1"/>
  <c r="CJ35" i="9"/>
  <c r="BO36" i="9"/>
  <c r="BR36" i="9" s="1"/>
  <c r="CX18" i="9"/>
  <c r="CZ18" i="9" s="1"/>
  <c r="DA18" i="9" s="1"/>
  <c r="CQ34" i="9"/>
  <c r="CT34" i="9" s="1"/>
  <c r="CP34" i="9"/>
  <c r="CP36" i="9"/>
  <c r="CQ36" i="9"/>
  <c r="CT36" i="9" s="1"/>
  <c r="CQ29" i="9"/>
  <c r="CT29" i="9" s="1"/>
  <c r="CP29" i="9"/>
  <c r="E17" i="9"/>
  <c r="DB14" i="9" s="1"/>
  <c r="DD14" i="9" s="1"/>
  <c r="DE14" i="9" s="1"/>
  <c r="CE21" i="9"/>
  <c r="CF21" i="9" s="1"/>
  <c r="BX21" i="9"/>
  <c r="AO16" i="9"/>
  <c r="AP16" i="9" s="1"/>
  <c r="M19" i="9"/>
  <c r="N19" i="9" s="1"/>
  <c r="F19" i="9"/>
  <c r="AH14" i="9"/>
  <c r="F22" i="9"/>
  <c r="DF13" i="9"/>
  <c r="DH13" i="9" s="1"/>
  <c r="DI13" i="9" s="1"/>
  <c r="DB19" i="9"/>
  <c r="DD19" i="9" s="1"/>
  <c r="DE19" i="9" s="1"/>
  <c r="T20" i="9"/>
  <c r="AA16" i="9"/>
  <c r="AB16" i="9" s="1"/>
  <c r="AA20" i="9"/>
  <c r="AB20" i="9" s="1"/>
  <c r="AO14" i="9"/>
  <c r="AP14" i="9" s="1"/>
  <c r="DJ13" i="9"/>
  <c r="DL13" i="9" s="1"/>
  <c r="DM13" i="9" s="1"/>
  <c r="DF11" i="9"/>
  <c r="DH11" i="9" s="1"/>
  <c r="DI11" i="9" s="1"/>
  <c r="BJ16" i="9"/>
  <c r="AA14" i="9"/>
  <c r="AB14" i="9" s="1"/>
  <c r="DN19" i="9"/>
  <c r="DP19" i="9" s="1"/>
  <c r="DQ19" i="9" s="1"/>
  <c r="DJ8" i="9"/>
  <c r="DL8" i="9" s="1"/>
  <c r="DM8" i="9" s="1"/>
  <c r="AO11" i="9"/>
  <c r="AP11" i="9" s="1"/>
  <c r="AA11" i="9"/>
  <c r="AB11" i="9" s="1"/>
  <c r="DF8" i="9"/>
  <c r="DH8" i="9" s="1"/>
  <c r="DI8" i="9" s="1"/>
  <c r="T11" i="9"/>
  <c r="BJ11" i="9"/>
  <c r="BQ11" i="9"/>
  <c r="BR11" i="9" s="1"/>
  <c r="DR8" i="9"/>
  <c r="DT8" i="9" s="1"/>
  <c r="DU8" i="9" s="1"/>
  <c r="BX11" i="9"/>
  <c r="CE11" i="9"/>
  <c r="CF11" i="9" s="1"/>
  <c r="DV8" i="9"/>
  <c r="DX8" i="9" s="1"/>
  <c r="DY8" i="9" s="1"/>
  <c r="AV11" i="9"/>
  <c r="DN8" i="9"/>
  <c r="DP8" i="9" s="1"/>
  <c r="DQ8" i="9" s="1"/>
  <c r="BC11" i="9"/>
  <c r="BD11" i="9" s="1"/>
  <c r="M11" i="9"/>
  <c r="N11" i="9" s="1"/>
  <c r="DB8" i="9"/>
  <c r="DD8" i="9" s="1"/>
  <c r="DE8" i="9" s="1"/>
  <c r="BX22" i="9"/>
  <c r="BQ16" i="9"/>
  <c r="BR16" i="9" s="1"/>
  <c r="AH20" i="9"/>
  <c r="DV19" i="9"/>
  <c r="DX19" i="9" s="1"/>
  <c r="DY19" i="9" s="1"/>
  <c r="AO20" i="9"/>
  <c r="AP20" i="9" s="1"/>
  <c r="CL16" i="9"/>
  <c r="CS16" i="9"/>
  <c r="CT16" i="9" s="1"/>
  <c r="CX8" i="9"/>
  <c r="CZ8" i="9" s="1"/>
  <c r="DA8" i="9" s="1"/>
  <c r="BC16" i="9"/>
  <c r="BD16" i="9" s="1"/>
  <c r="CN176" i="5"/>
  <c r="AV22" i="9"/>
  <c r="AV16" i="9"/>
  <c r="BC20" i="9"/>
  <c r="BD20" i="9" s="1"/>
  <c r="I41" i="9"/>
  <c r="J41" i="9" s="1"/>
  <c r="L35" i="9"/>
  <c r="N35" i="9" s="1"/>
  <c r="CP30" i="9"/>
  <c r="CL19" i="5"/>
  <c r="AK19" i="5"/>
  <c r="CJ23" i="9" s="1"/>
  <c r="CR23" i="9" s="1"/>
  <c r="AL35" i="9"/>
  <c r="AN35" i="9"/>
  <c r="AP35" i="9" s="1"/>
  <c r="AV20" i="9"/>
  <c r="AK41" i="9"/>
  <c r="AL28" i="9"/>
  <c r="W41" i="9"/>
  <c r="AA19" i="9"/>
  <c r="AB19" i="9" s="1"/>
  <c r="H30" i="11"/>
  <c r="CP31" i="9"/>
  <c r="CN28" i="9"/>
  <c r="CP28" i="9" s="1"/>
  <c r="I40" i="7"/>
  <c r="CQ37" i="9"/>
  <c r="CT37" i="9" s="1"/>
  <c r="T6" i="7"/>
  <c r="I32" i="7" s="1"/>
  <c r="CP37" i="9"/>
  <c r="T19" i="9"/>
  <c r="CX9" i="9"/>
  <c r="CZ9" i="9" s="1"/>
  <c r="DA9" i="9" s="1"/>
  <c r="CS12" i="9"/>
  <c r="CT12" i="9" s="1"/>
  <c r="CP176" i="5"/>
  <c r="CM178" i="5"/>
  <c r="S17" i="9"/>
  <c r="BI17" i="9"/>
  <c r="CP178" i="5"/>
  <c r="CR40" i="9"/>
  <c r="CT40" i="9" s="1"/>
  <c r="CP40" i="9"/>
  <c r="CL18" i="9"/>
  <c r="CX15" i="9"/>
  <c r="CZ15" i="9" s="1"/>
  <c r="DA15" i="9" s="1"/>
  <c r="CS18" i="9"/>
  <c r="CT18" i="9" s="1"/>
  <c r="E40" i="7"/>
  <c r="CS13" i="9"/>
  <c r="CT13" i="9" s="1"/>
  <c r="CX10" i="9"/>
  <c r="CZ10" i="9" s="1"/>
  <c r="DA10" i="9" s="1"/>
  <c r="CX17" i="9"/>
  <c r="CZ17" i="9" s="1"/>
  <c r="DA17" i="9" s="1"/>
  <c r="CS20" i="9"/>
  <c r="CT20" i="9" s="1"/>
  <c r="CQ178" i="5"/>
  <c r="BW17" i="9"/>
  <c r="CS22" i="9"/>
  <c r="CT22" i="9" s="1"/>
  <c r="CL22" i="9"/>
  <c r="CX19" i="9"/>
  <c r="CZ19" i="9" s="1"/>
  <c r="DA19" i="9" s="1"/>
  <c r="CO178" i="5"/>
  <c r="AU17" i="9"/>
  <c r="AG17" i="9"/>
  <c r="CN178" i="5"/>
  <c r="CK23" i="9"/>
  <c r="CK25" i="9" s="1"/>
  <c r="CL24" i="9" s="1"/>
  <c r="Q32" i="9"/>
  <c r="R28" i="9" s="1"/>
  <c r="H6" i="7"/>
  <c r="H29" i="7" s="1"/>
  <c r="G12" i="8" s="1"/>
  <c r="H40" i="7"/>
  <c r="AS32" i="9"/>
  <c r="AT28" i="9" s="1"/>
  <c r="N6" i="7"/>
  <c r="G32" i="7" s="1"/>
  <c r="Q6" i="7"/>
  <c r="Q29" i="7" s="1"/>
  <c r="M12" i="8" s="1"/>
  <c r="G30" i="11"/>
  <c r="DO24" i="9"/>
  <c r="AY50" i="9"/>
  <c r="DR12" i="9"/>
  <c r="DT12" i="9" s="1"/>
  <c r="DU12" i="9" s="1"/>
  <c r="BQ15" i="9"/>
  <c r="BR15" i="9" s="1"/>
  <c r="BJ15" i="9"/>
  <c r="CL174" i="5"/>
  <c r="E13" i="9"/>
  <c r="D13" i="9" s="1"/>
  <c r="L13" i="9" s="1"/>
  <c r="CL42" i="5"/>
  <c r="AE32" i="9"/>
  <c r="F40" i="7"/>
  <c r="K6" i="7"/>
  <c r="CQ176" i="5"/>
  <c r="BW15" i="9"/>
  <c r="CQ174" i="5"/>
  <c r="BW13" i="9"/>
  <c r="CL157" i="5"/>
  <c r="CO176" i="5"/>
  <c r="AU15" i="9"/>
  <c r="CM176" i="5"/>
  <c r="S15" i="9"/>
  <c r="BI13" i="9"/>
  <c r="BH13" i="9" s="1"/>
  <c r="BP13" i="9" s="1"/>
  <c r="CP174" i="5"/>
  <c r="CL134" i="5"/>
  <c r="CL111" i="5"/>
  <c r="CO174" i="5"/>
  <c r="AU13" i="9"/>
  <c r="D30" i="11"/>
  <c r="BC14" i="9"/>
  <c r="BD14" i="9" s="1"/>
  <c r="AV14" i="9"/>
  <c r="DN11" i="9"/>
  <c r="DP11" i="9" s="1"/>
  <c r="DQ11" i="9" s="1"/>
  <c r="CS15" i="9"/>
  <c r="CT15" i="9" s="1"/>
  <c r="CX12" i="9"/>
  <c r="CZ12" i="9" s="1"/>
  <c r="DA12" i="9" s="1"/>
  <c r="BO32" i="9"/>
  <c r="BR32" i="9" s="1"/>
  <c r="BH28" i="9"/>
  <c r="E15" i="9"/>
  <c r="D15" i="9" s="1"/>
  <c r="L15" i="9" s="1"/>
  <c r="CL176" i="5"/>
  <c r="S13" i="9"/>
  <c r="CM174" i="5"/>
  <c r="CL65" i="5"/>
  <c r="BQ14" i="9"/>
  <c r="BR14" i="9" s="1"/>
  <c r="DR11" i="9"/>
  <c r="DT11" i="9" s="1"/>
  <c r="DU11" i="9" s="1"/>
  <c r="CC32" i="9"/>
  <c r="CF32" i="9" s="1"/>
  <c r="BV28" i="9"/>
  <c r="DJ12" i="9"/>
  <c r="DL12" i="9" s="1"/>
  <c r="DM12" i="9" s="1"/>
  <c r="AO15" i="9"/>
  <c r="AP15" i="9" s="1"/>
  <c r="CN174" i="5"/>
  <c r="CL88" i="5"/>
  <c r="AG13" i="9"/>
  <c r="CL19" i="9" l="1"/>
  <c r="CL14" i="9"/>
  <c r="CL12" i="9"/>
  <c r="E6" i="7"/>
  <c r="U6" i="7" s="1"/>
  <c r="C30" i="11"/>
  <c r="K32" i="9"/>
  <c r="N32" i="9" s="1"/>
  <c r="D40" i="7"/>
  <c r="C40" i="7" s="1"/>
  <c r="CL15" i="9"/>
  <c r="CL20" i="9"/>
  <c r="CL11" i="9"/>
  <c r="CA50" i="9"/>
  <c r="DW31" i="9" s="1"/>
  <c r="BN35" i="9"/>
  <c r="CN35" i="9"/>
  <c r="CP35" i="9" s="1"/>
  <c r="CQ39" i="9"/>
  <c r="CT39" i="9" s="1"/>
  <c r="BM50" i="9"/>
  <c r="BM58" i="9" s="1"/>
  <c r="DS24" i="9"/>
  <c r="M29" i="8"/>
  <c r="M46" i="8"/>
  <c r="BP35" i="9"/>
  <c r="BR35" i="9" s="1"/>
  <c r="BN41" i="9"/>
  <c r="M17" i="9"/>
  <c r="N17" i="9" s="1"/>
  <c r="F17" i="9"/>
  <c r="DC24" i="9"/>
  <c r="I50" i="9"/>
  <c r="J50" i="9" s="1"/>
  <c r="Q4" i="6"/>
  <c r="G29" i="8"/>
  <c r="G46" i="8"/>
  <c r="CL13" i="9"/>
  <c r="N4" i="6"/>
  <c r="S4" i="6"/>
  <c r="R4" i="6"/>
  <c r="P4" i="6"/>
  <c r="O4" i="6"/>
  <c r="M4" i="6"/>
  <c r="DG24" i="9"/>
  <c r="W50" i="9"/>
  <c r="AK50" i="9"/>
  <c r="DK24" i="9"/>
  <c r="AL41" i="9"/>
  <c r="CP184" i="5"/>
  <c r="T29" i="7"/>
  <c r="O12" i="8" s="1"/>
  <c r="CX20" i="9"/>
  <c r="CX30" i="9" s="1"/>
  <c r="CS23" i="9"/>
  <c r="CT23" i="9" s="1"/>
  <c r="Y32" i="9"/>
  <c r="AB32" i="9" s="1"/>
  <c r="CO184" i="5"/>
  <c r="CQ184" i="5"/>
  <c r="CL23" i="9"/>
  <c r="BJ17" i="9"/>
  <c r="DR14" i="9"/>
  <c r="DT14" i="9" s="1"/>
  <c r="DU14" i="9" s="1"/>
  <c r="BQ17" i="9"/>
  <c r="BR17" i="9" s="1"/>
  <c r="AA17" i="9"/>
  <c r="AB17" i="9" s="1"/>
  <c r="DF14" i="9"/>
  <c r="DH14" i="9" s="1"/>
  <c r="DI14" i="9" s="1"/>
  <c r="T17" i="9"/>
  <c r="CE17" i="9"/>
  <c r="CF17" i="9" s="1"/>
  <c r="BX17" i="9"/>
  <c r="DV14" i="9"/>
  <c r="DX14" i="9" s="1"/>
  <c r="DY14" i="9" s="1"/>
  <c r="AO17" i="9"/>
  <c r="AP17" i="9" s="1"/>
  <c r="DJ14" i="9"/>
  <c r="DL14" i="9" s="1"/>
  <c r="DM14" i="9" s="1"/>
  <c r="AV17" i="9"/>
  <c r="BC17" i="9"/>
  <c r="BD17" i="9" s="1"/>
  <c r="DN14" i="9"/>
  <c r="DP14" i="9" s="1"/>
  <c r="DQ14" i="9" s="1"/>
  <c r="CN184" i="5"/>
  <c r="H32" i="7"/>
  <c r="E32" i="7"/>
  <c r="N29" i="7"/>
  <c r="K12" i="8" s="1"/>
  <c r="F30" i="11"/>
  <c r="BA32" i="9"/>
  <c r="BD32" i="9" s="1"/>
  <c r="I8" i="8"/>
  <c r="AG23" i="9"/>
  <c r="AF23" i="9" s="1"/>
  <c r="AN23" i="9" s="1"/>
  <c r="DB12" i="9"/>
  <c r="DD12" i="9" s="1"/>
  <c r="DE12" i="9" s="1"/>
  <c r="M15" i="9"/>
  <c r="N15" i="9" s="1"/>
  <c r="BX13" i="9"/>
  <c r="CE13" i="9"/>
  <c r="CF13" i="9" s="1"/>
  <c r="DV10" i="9"/>
  <c r="AM32" i="9"/>
  <c r="AP32" i="9" s="1"/>
  <c r="AF28" i="9"/>
  <c r="AO13" i="9"/>
  <c r="AP13" i="9" s="1"/>
  <c r="DJ10" i="9"/>
  <c r="AH13" i="9"/>
  <c r="AK7" i="8"/>
  <c r="BC13" i="9"/>
  <c r="BD13" i="9" s="1"/>
  <c r="AV13" i="9"/>
  <c r="DN10" i="9"/>
  <c r="DF12" i="9"/>
  <c r="DH12" i="9" s="1"/>
  <c r="DI12" i="9" s="1"/>
  <c r="T15" i="9"/>
  <c r="AA15" i="9"/>
  <c r="AB15" i="9" s="1"/>
  <c r="BW23" i="9"/>
  <c r="BV23" i="9" s="1"/>
  <c r="CD23" i="9" s="1"/>
  <c r="O8" i="8"/>
  <c r="CL29" i="9"/>
  <c r="CL34" i="9"/>
  <c r="CL35" i="9"/>
  <c r="CL37" i="9"/>
  <c r="CL30" i="9"/>
  <c r="CL38" i="9"/>
  <c r="CL25" i="9"/>
  <c r="CL39" i="9"/>
  <c r="CL36" i="9"/>
  <c r="CL31" i="9"/>
  <c r="CL33" i="9"/>
  <c r="CL40" i="9"/>
  <c r="CS25" i="9"/>
  <c r="CT25" i="9" s="1"/>
  <c r="CI32" i="9"/>
  <c r="CL32" i="9" s="1"/>
  <c r="CL184" i="5"/>
  <c r="S41" i="9"/>
  <c r="Z28" i="9"/>
  <c r="AB28" i="9" s="1"/>
  <c r="DF10" i="9"/>
  <c r="AA13" i="9"/>
  <c r="AB13" i="9" s="1"/>
  <c r="T13" i="9"/>
  <c r="DR10" i="9"/>
  <c r="BQ13" i="9"/>
  <c r="BR13" i="9" s="1"/>
  <c r="AH7" i="8"/>
  <c r="K29" i="7"/>
  <c r="I12" i="8" s="1"/>
  <c r="F32" i="7"/>
  <c r="E41" i="9"/>
  <c r="L28" i="9"/>
  <c r="N28" i="9" s="1"/>
  <c r="M13" i="9"/>
  <c r="N13" i="9" s="1"/>
  <c r="DB10" i="9"/>
  <c r="DO31" i="9"/>
  <c r="AY58" i="9"/>
  <c r="S23" i="9"/>
  <c r="R23" i="9" s="1"/>
  <c r="Z23" i="9" s="1"/>
  <c r="G8" i="8"/>
  <c r="BI23" i="9"/>
  <c r="BH23" i="9" s="1"/>
  <c r="BP23" i="9" s="1"/>
  <c r="M8" i="8"/>
  <c r="M42" i="8" s="1"/>
  <c r="AU41" i="9"/>
  <c r="BB28" i="9"/>
  <c r="BD28" i="9" s="1"/>
  <c r="BW41" i="9"/>
  <c r="CD28" i="9"/>
  <c r="CF28" i="9" s="1"/>
  <c r="BI41" i="9"/>
  <c r="BP28" i="9"/>
  <c r="BR28" i="9" s="1"/>
  <c r="K8" i="8"/>
  <c r="AU23" i="9"/>
  <c r="BC15" i="9"/>
  <c r="BD15" i="9" s="1"/>
  <c r="DN12" i="9"/>
  <c r="DP12" i="9" s="1"/>
  <c r="DQ12" i="9" s="1"/>
  <c r="AV15" i="9"/>
  <c r="DV12" i="9"/>
  <c r="DX12" i="9" s="1"/>
  <c r="DY12" i="9" s="1"/>
  <c r="BX15" i="9"/>
  <c r="CE15" i="9"/>
  <c r="CF15" i="9" s="1"/>
  <c r="E30" i="11"/>
  <c r="E23" i="9"/>
  <c r="D23" i="9" s="1"/>
  <c r="L23" i="9" s="1"/>
  <c r="E8" i="8"/>
  <c r="J17" i="12" s="1"/>
  <c r="CM184" i="5"/>
  <c r="G21" i="11" l="1"/>
  <c r="G22" i="11"/>
  <c r="C22" i="11"/>
  <c r="C21" i="11"/>
  <c r="F21" i="11"/>
  <c r="F22" i="11"/>
  <c r="E22" i="11"/>
  <c r="E21" i="11"/>
  <c r="D21" i="11"/>
  <c r="D22" i="11"/>
  <c r="H22" i="11"/>
  <c r="H21" i="11"/>
  <c r="CA58" i="9"/>
  <c r="DW27" i="9" s="1"/>
  <c r="M25" i="6"/>
  <c r="E29" i="7"/>
  <c r="E12" i="8" s="1"/>
  <c r="AG7" i="8" s="1"/>
  <c r="I18" i="11"/>
  <c r="I30" i="11" s="1"/>
  <c r="D32" i="7"/>
  <c r="C32" i="7" s="1"/>
  <c r="P41" i="6"/>
  <c r="P70" i="6"/>
  <c r="P65" i="6"/>
  <c r="P62" i="6"/>
  <c r="P27" i="6"/>
  <c r="P20" i="6"/>
  <c r="P96" i="6"/>
  <c r="P9" i="6" s="1"/>
  <c r="P64" i="6"/>
  <c r="P68" i="6"/>
  <c r="P38" i="6"/>
  <c r="P35" i="6"/>
  <c r="P48" i="6"/>
  <c r="P28" i="6"/>
  <c r="P95" i="6"/>
  <c r="P22" i="6"/>
  <c r="P51" i="6"/>
  <c r="P37" i="6"/>
  <c r="P99" i="6"/>
  <c r="P44" i="6"/>
  <c r="P13" i="6"/>
  <c r="P69" i="6"/>
  <c r="P49" i="6"/>
  <c r="P71" i="6"/>
  <c r="P17" i="6"/>
  <c r="P25" i="6"/>
  <c r="P50" i="6"/>
  <c r="P42" i="6"/>
  <c r="P43" i="6"/>
  <c r="P36" i="6"/>
  <c r="P14" i="6"/>
  <c r="P12" i="6"/>
  <c r="P63" i="6"/>
  <c r="P23" i="6"/>
  <c r="P26" i="6"/>
  <c r="P19" i="6"/>
  <c r="P97" i="6"/>
  <c r="P10" i="6" s="1"/>
  <c r="O50" i="6"/>
  <c r="O23" i="6"/>
  <c r="O35" i="6"/>
  <c r="O26" i="6"/>
  <c r="O48" i="6"/>
  <c r="O12" i="6"/>
  <c r="O99" i="6"/>
  <c r="O13" i="6"/>
  <c r="O97" i="6"/>
  <c r="O10" i="6" s="1"/>
  <c r="O95" i="6"/>
  <c r="O44" i="6"/>
  <c r="O38" i="6"/>
  <c r="O71" i="6"/>
  <c r="O22" i="6"/>
  <c r="O64" i="6"/>
  <c r="O14" i="6"/>
  <c r="O25" i="6"/>
  <c r="O70" i="6"/>
  <c r="O28" i="6"/>
  <c r="O51" i="6"/>
  <c r="O43" i="6"/>
  <c r="O65" i="6"/>
  <c r="O17" i="6"/>
  <c r="O62" i="6"/>
  <c r="O96" i="6"/>
  <c r="O9" i="6" s="1"/>
  <c r="O37" i="6"/>
  <c r="O27" i="6"/>
  <c r="O41" i="6"/>
  <c r="O42" i="6"/>
  <c r="O49" i="6"/>
  <c r="O36" i="6"/>
  <c r="O20" i="6"/>
  <c r="O63" i="6"/>
  <c r="O69" i="6"/>
  <c r="O68" i="6"/>
  <c r="O19" i="6"/>
  <c r="N17" i="12"/>
  <c r="I42" i="8"/>
  <c r="I25" i="8"/>
  <c r="P17" i="12"/>
  <c r="K42" i="8"/>
  <c r="K25" i="8"/>
  <c r="I29" i="8"/>
  <c r="I46" i="8"/>
  <c r="CO41" i="9"/>
  <c r="CY24" i="9" s="1"/>
  <c r="AJ7" i="8"/>
  <c r="K46" i="8"/>
  <c r="K29" i="8"/>
  <c r="CR35" i="9"/>
  <c r="CT35" i="9" s="1"/>
  <c r="BN50" i="9"/>
  <c r="DS31" i="9"/>
  <c r="DC31" i="9"/>
  <c r="R17" i="12"/>
  <c r="M25" i="8"/>
  <c r="Q41" i="6"/>
  <c r="Q20" i="6"/>
  <c r="Q43" i="6"/>
  <c r="Q51" i="6"/>
  <c r="Q25" i="6"/>
  <c r="Q28" i="6"/>
  <c r="Q17" i="6"/>
  <c r="Q62" i="6"/>
  <c r="Q70" i="6"/>
  <c r="Q19" i="6"/>
  <c r="Q95" i="6"/>
  <c r="Q8" i="6" s="1"/>
  <c r="Q26" i="6"/>
  <c r="Q27" i="6"/>
  <c r="Q44" i="6"/>
  <c r="Q13" i="6"/>
  <c r="Q71" i="6"/>
  <c r="Q99" i="6"/>
  <c r="Q69" i="6"/>
  <c r="Q64" i="6"/>
  <c r="Q12" i="6"/>
  <c r="Q42" i="6"/>
  <c r="Q36" i="6"/>
  <c r="Q50" i="6"/>
  <c r="Q97" i="6"/>
  <c r="Q10" i="6" s="1"/>
  <c r="Q37" i="6"/>
  <c r="Q63" i="6"/>
  <c r="Q49" i="6"/>
  <c r="Q35" i="6"/>
  <c r="Q14" i="6"/>
  <c r="Q65" i="6"/>
  <c r="Q23" i="6"/>
  <c r="Q68" i="6"/>
  <c r="Q38" i="6"/>
  <c r="Q96" i="6"/>
  <c r="Q9" i="6" s="1"/>
  <c r="Q48" i="6"/>
  <c r="Q22" i="6"/>
  <c r="M49" i="6"/>
  <c r="M48" i="6"/>
  <c r="I58" i="9"/>
  <c r="J58" i="9" s="1"/>
  <c r="M41" i="6"/>
  <c r="M17" i="6"/>
  <c r="M69" i="6"/>
  <c r="M26" i="6"/>
  <c r="M43" i="6"/>
  <c r="M51" i="6"/>
  <c r="M65" i="6"/>
  <c r="M62" i="6"/>
  <c r="M20" i="6"/>
  <c r="M50" i="6"/>
  <c r="M63" i="6"/>
  <c r="M13" i="6"/>
  <c r="M95" i="6"/>
  <c r="M8" i="6" s="1"/>
  <c r="M14" i="6"/>
  <c r="M97" i="6"/>
  <c r="M10" i="6" s="1"/>
  <c r="M35" i="6"/>
  <c r="CZ20" i="9"/>
  <c r="DA20" i="9" s="1"/>
  <c r="T17" i="12"/>
  <c r="O42" i="8"/>
  <c r="O25" i="8"/>
  <c r="N14" i="6"/>
  <c r="N43" i="6"/>
  <c r="N28" i="6"/>
  <c r="N27" i="6"/>
  <c r="N37" i="6"/>
  <c r="N20" i="6"/>
  <c r="N26" i="6"/>
  <c r="N36" i="6"/>
  <c r="N41" i="6"/>
  <c r="N19" i="6"/>
  <c r="W10" i="6" s="1"/>
  <c r="R46" i="9" s="1"/>
  <c r="Z46" i="9" s="1"/>
  <c r="AB46" i="9" s="1"/>
  <c r="N13" i="6"/>
  <c r="N49" i="6"/>
  <c r="N64" i="6"/>
  <c r="N25" i="6"/>
  <c r="N62" i="6"/>
  <c r="N17" i="6"/>
  <c r="N50" i="6"/>
  <c r="N69" i="6"/>
  <c r="N99" i="6"/>
  <c r="N44" i="6"/>
  <c r="N22" i="6"/>
  <c r="N65" i="6"/>
  <c r="N38" i="6"/>
  <c r="N70" i="6"/>
  <c r="N96" i="6"/>
  <c r="N9" i="6" s="1"/>
  <c r="N12" i="6"/>
  <c r="N48" i="6"/>
  <c r="N63" i="6"/>
  <c r="N23" i="6"/>
  <c r="N35" i="6"/>
  <c r="N97" i="6"/>
  <c r="N10" i="6" s="1"/>
  <c r="N51" i="6"/>
  <c r="N42" i="6"/>
  <c r="N95" i="6"/>
  <c r="N71" i="6"/>
  <c r="N68" i="6"/>
  <c r="L17" i="12"/>
  <c r="G42" i="8"/>
  <c r="G25" i="8"/>
  <c r="R68" i="6"/>
  <c r="R22" i="6"/>
  <c r="R23" i="6"/>
  <c r="R95" i="6"/>
  <c r="R65" i="6"/>
  <c r="R50" i="6"/>
  <c r="R99" i="6"/>
  <c r="R13" i="6"/>
  <c r="R97" i="6"/>
  <c r="R10" i="6" s="1"/>
  <c r="R70" i="6"/>
  <c r="R69" i="6"/>
  <c r="R62" i="6"/>
  <c r="R37" i="6"/>
  <c r="R64" i="6"/>
  <c r="R41" i="6"/>
  <c r="R19" i="6"/>
  <c r="R51" i="6"/>
  <c r="R38" i="6"/>
  <c r="R20" i="6"/>
  <c r="R44" i="6"/>
  <c r="R17" i="6"/>
  <c r="R28" i="6"/>
  <c r="R36" i="6"/>
  <c r="R14" i="6"/>
  <c r="R42" i="6"/>
  <c r="R49" i="6"/>
  <c r="R25" i="6"/>
  <c r="R63" i="6"/>
  <c r="R96" i="6"/>
  <c r="R9" i="6" s="1"/>
  <c r="R71" i="6"/>
  <c r="R48" i="6"/>
  <c r="R27" i="6"/>
  <c r="R35" i="6"/>
  <c r="R12" i="6"/>
  <c r="R26" i="6"/>
  <c r="R43" i="6"/>
  <c r="AL7" i="8"/>
  <c r="O29" i="8"/>
  <c r="O46" i="8"/>
  <c r="M23" i="6"/>
  <c r="M99" i="6"/>
  <c r="M16" i="6" s="1"/>
  <c r="M38" i="6"/>
  <c r="M28" i="6"/>
  <c r="M12" i="6"/>
  <c r="M70" i="6"/>
  <c r="M36" i="6"/>
  <c r="M44" i="6"/>
  <c r="M42" i="6"/>
  <c r="M68" i="6"/>
  <c r="M22" i="6"/>
  <c r="M27" i="6"/>
  <c r="M96" i="6"/>
  <c r="M37" i="6"/>
  <c r="M19" i="6"/>
  <c r="M64" i="6"/>
  <c r="M71" i="6"/>
  <c r="W58" i="9"/>
  <c r="DG31" i="9"/>
  <c r="DK31" i="9"/>
  <c r="AL50" i="9"/>
  <c r="AK58" i="9"/>
  <c r="G10" i="8"/>
  <c r="DT10" i="9"/>
  <c r="DU10" i="9" s="1"/>
  <c r="DR20" i="9"/>
  <c r="O10" i="8"/>
  <c r="I10" i="8"/>
  <c r="E25" i="9"/>
  <c r="M23" i="9"/>
  <c r="N23" i="9" s="1"/>
  <c r="K10" i="8"/>
  <c r="DV24" i="9"/>
  <c r="DX24" i="9" s="1"/>
  <c r="DY24" i="9" s="1"/>
  <c r="CE41" i="9"/>
  <c r="CF41" i="9" s="1"/>
  <c r="BI25" i="9"/>
  <c r="BQ23" i="9"/>
  <c r="BR23" i="9" s="1"/>
  <c r="DO32" i="9"/>
  <c r="DO27" i="9"/>
  <c r="AI7" i="8"/>
  <c r="DF24" i="9"/>
  <c r="DH24" i="9" s="1"/>
  <c r="DI24" i="9" s="1"/>
  <c r="AA41" i="9"/>
  <c r="AB41" i="9" s="1"/>
  <c r="DL10" i="9"/>
  <c r="DM10" i="9" s="1"/>
  <c r="DJ20" i="9"/>
  <c r="AG41" i="9"/>
  <c r="CK41" i="9" s="1"/>
  <c r="CL41" i="9" s="1"/>
  <c r="AN28" i="9"/>
  <c r="AP28" i="9" s="1"/>
  <c r="DX10" i="9"/>
  <c r="DY10" i="9" s="1"/>
  <c r="DV20" i="9"/>
  <c r="AG25" i="9"/>
  <c r="AH17" i="9" s="1"/>
  <c r="AO23" i="9"/>
  <c r="AP23" i="9" s="1"/>
  <c r="E10" i="8"/>
  <c r="E42" i="8"/>
  <c r="C8" i="8"/>
  <c r="H17" i="12" s="1"/>
  <c r="E25" i="8"/>
  <c r="AU25" i="9"/>
  <c r="BC23" i="9"/>
  <c r="BD23" i="9" s="1"/>
  <c r="AV23" i="9"/>
  <c r="M10" i="8"/>
  <c r="M44" i="8" s="1"/>
  <c r="DD10" i="9"/>
  <c r="DE10" i="9" s="1"/>
  <c r="DB20" i="9"/>
  <c r="CQ32" i="9"/>
  <c r="CT32" i="9" s="1"/>
  <c r="CJ28" i="9"/>
  <c r="DS32" i="9"/>
  <c r="DS27" i="9"/>
  <c r="BN58" i="9"/>
  <c r="DR24" i="9"/>
  <c r="DT24" i="9" s="1"/>
  <c r="DU24" i="9" s="1"/>
  <c r="BQ41" i="9"/>
  <c r="BR41" i="9" s="1"/>
  <c r="DN24" i="9"/>
  <c r="DP24" i="9" s="1"/>
  <c r="DQ24" i="9" s="1"/>
  <c r="BC41" i="9"/>
  <c r="BD41" i="9" s="1"/>
  <c r="T23" i="9"/>
  <c r="AA23" i="9"/>
  <c r="AB23" i="9" s="1"/>
  <c r="S25" i="9"/>
  <c r="DB24" i="9"/>
  <c r="DD24" i="9" s="1"/>
  <c r="DE24" i="9" s="1"/>
  <c r="M41" i="9"/>
  <c r="N41" i="9" s="1"/>
  <c r="DH10" i="9"/>
  <c r="DI10" i="9" s="1"/>
  <c r="DF20" i="9"/>
  <c r="CE23" i="9"/>
  <c r="CF23" i="9" s="1"/>
  <c r="BX23" i="9"/>
  <c r="BW25" i="9"/>
  <c r="DP10" i="9"/>
  <c r="DQ10" i="9" s="1"/>
  <c r="DN20" i="9"/>
  <c r="BJ19" i="9" l="1"/>
  <c r="BJ24" i="9"/>
  <c r="BJ23" i="9"/>
  <c r="BJ14" i="9"/>
  <c r="BJ13" i="9"/>
  <c r="F11" i="9"/>
  <c r="F20" i="9"/>
  <c r="D34" i="11"/>
  <c r="X10" i="6"/>
  <c r="AF46" i="9" s="1"/>
  <c r="AN46" i="9" s="1"/>
  <c r="AP46" i="9" s="1"/>
  <c r="F12" i="9"/>
  <c r="F14" i="9"/>
  <c r="G34" i="11"/>
  <c r="E34" i="11"/>
  <c r="F34" i="11"/>
  <c r="H34" i="11"/>
  <c r="U29" i="7"/>
  <c r="C12" i="8" s="1"/>
  <c r="AF7" i="8" s="1"/>
  <c r="E29" i="8"/>
  <c r="DW32" i="9"/>
  <c r="E46" i="8"/>
  <c r="M72" i="6"/>
  <c r="D56" i="9" s="1"/>
  <c r="AH11" i="9"/>
  <c r="AH15" i="9"/>
  <c r="BJ20" i="9"/>
  <c r="AH23" i="9"/>
  <c r="F23" i="9"/>
  <c r="F15" i="9"/>
  <c r="O16" i="6"/>
  <c r="X9" i="6" s="1"/>
  <c r="AF45" i="9" s="1"/>
  <c r="AN45" i="9" s="1"/>
  <c r="AP45" i="9" s="1"/>
  <c r="O45" i="6"/>
  <c r="AF54" i="9" s="1"/>
  <c r="AN54" i="9" s="1"/>
  <c r="AP54" i="9" s="1"/>
  <c r="Y10" i="6"/>
  <c r="AT46" i="9" s="1"/>
  <c r="BB46" i="9" s="1"/>
  <c r="BD46" i="9" s="1"/>
  <c r="V9" i="6"/>
  <c r="D45" i="9" s="1"/>
  <c r="F45" i="9" s="1"/>
  <c r="O72" i="6"/>
  <c r="AF56" i="9" s="1"/>
  <c r="AN56" i="9" s="1"/>
  <c r="AP56" i="9" s="1"/>
  <c r="O66" i="6"/>
  <c r="AF55" i="9" s="1"/>
  <c r="AN55" i="9" s="1"/>
  <c r="AP55" i="9" s="1"/>
  <c r="O52" i="6"/>
  <c r="X12" i="6"/>
  <c r="AF48" i="9" s="1"/>
  <c r="AN48" i="9" s="1"/>
  <c r="AP48" i="9" s="1"/>
  <c r="X8" i="6"/>
  <c r="AF44" i="9" s="1"/>
  <c r="AN44" i="9" s="1"/>
  <c r="AP44" i="9" s="1"/>
  <c r="P16" i="6"/>
  <c r="Y9" i="6" s="1"/>
  <c r="AT45" i="9" s="1"/>
  <c r="BB45" i="9" s="1"/>
  <c r="BD45" i="9" s="1"/>
  <c r="Y11" i="6"/>
  <c r="AT47" i="9" s="1"/>
  <c r="BB47" i="9" s="1"/>
  <c r="BD47" i="9" s="1"/>
  <c r="P39" i="6"/>
  <c r="AT53" i="9" s="1"/>
  <c r="BB53" i="9" s="1"/>
  <c r="BD53" i="9" s="1"/>
  <c r="O39" i="6"/>
  <c r="AF53" i="9" s="1"/>
  <c r="AN53" i="9" s="1"/>
  <c r="AP53" i="9" s="1"/>
  <c r="P52" i="6"/>
  <c r="P66" i="6"/>
  <c r="AT55" i="9" s="1"/>
  <c r="BB55" i="9" s="1"/>
  <c r="BD55" i="9" s="1"/>
  <c r="P72" i="6"/>
  <c r="AT56" i="9" s="1"/>
  <c r="BB56" i="9" s="1"/>
  <c r="BD56" i="9" s="1"/>
  <c r="P45" i="6"/>
  <c r="AT54" i="9" s="1"/>
  <c r="BB54" i="9" s="1"/>
  <c r="BD54" i="9" s="1"/>
  <c r="I44" i="8"/>
  <c r="I27" i="8"/>
  <c r="P8" i="6"/>
  <c r="P100" i="6"/>
  <c r="Y12" i="6"/>
  <c r="AT48" i="9" s="1"/>
  <c r="BB48" i="9" s="1"/>
  <c r="BD48" i="9" s="1"/>
  <c r="N42" i="8"/>
  <c r="N44" i="8"/>
  <c r="N46" i="8"/>
  <c r="N43" i="8"/>
  <c r="K44" i="8"/>
  <c r="K27" i="8"/>
  <c r="O100" i="6"/>
  <c r="X11" i="6"/>
  <c r="AF47" i="9" s="1"/>
  <c r="AN47" i="9" s="1"/>
  <c r="AP47" i="9" s="1"/>
  <c r="O8" i="6"/>
  <c r="Y8" i="6"/>
  <c r="AT44" i="9" s="1"/>
  <c r="BB44" i="9" s="1"/>
  <c r="BD44" i="9" s="1"/>
  <c r="CP41" i="9"/>
  <c r="CO50" i="9"/>
  <c r="CY31" i="9" s="1"/>
  <c r="Q52" i="6"/>
  <c r="W16" i="12" s="1"/>
  <c r="R18" i="12" s="1"/>
  <c r="R19" i="12" s="1"/>
  <c r="S19" i="12" s="1"/>
  <c r="Q16" i="6"/>
  <c r="Z9" i="6" s="1"/>
  <c r="BH45" i="9" s="1"/>
  <c r="BP45" i="9" s="1"/>
  <c r="BR45" i="9" s="1"/>
  <c r="M27" i="8"/>
  <c r="N26" i="8" s="1"/>
  <c r="Z10" i="6"/>
  <c r="BH46" i="9" s="1"/>
  <c r="BP46" i="9" s="1"/>
  <c r="BR46" i="9" s="1"/>
  <c r="Z7" i="6"/>
  <c r="Q66" i="6"/>
  <c r="S48" i="6"/>
  <c r="Z11" i="6"/>
  <c r="BH47" i="9" s="1"/>
  <c r="BP47" i="9" s="1"/>
  <c r="BR47" i="9" s="1"/>
  <c r="Q72" i="6"/>
  <c r="BH56" i="9" s="1"/>
  <c r="BP56" i="9" s="1"/>
  <c r="BR56" i="9" s="1"/>
  <c r="Q39" i="6"/>
  <c r="BH53" i="9" s="1"/>
  <c r="BJ53" i="9" s="1"/>
  <c r="Z8" i="6"/>
  <c r="BH44" i="9" s="1"/>
  <c r="BP44" i="9" s="1"/>
  <c r="BR44" i="9" s="1"/>
  <c r="Z12" i="6"/>
  <c r="BH48" i="9" s="1"/>
  <c r="BP48" i="9" s="1"/>
  <c r="BR48" i="9" s="1"/>
  <c r="Q45" i="6"/>
  <c r="BH54" i="9" s="1"/>
  <c r="BP54" i="9" s="1"/>
  <c r="BR54" i="9" s="1"/>
  <c r="Q100" i="6"/>
  <c r="AA10" i="6"/>
  <c r="BV46" i="9" s="1"/>
  <c r="CD46" i="9" s="1"/>
  <c r="CF46" i="9" s="1"/>
  <c r="S38" i="6"/>
  <c r="M52" i="6"/>
  <c r="V10" i="6"/>
  <c r="D46" i="9" s="1"/>
  <c r="F46" i="9" s="1"/>
  <c r="DC27" i="9"/>
  <c r="DC32" i="9"/>
  <c r="S26" i="6"/>
  <c r="S62" i="6"/>
  <c r="S37" i="6"/>
  <c r="M45" i="6"/>
  <c r="D54" i="9" s="1"/>
  <c r="F54" i="9" s="1"/>
  <c r="S43" i="6"/>
  <c r="S71" i="6"/>
  <c r="V8" i="6"/>
  <c r="D44" i="9" s="1"/>
  <c r="L44" i="9" s="1"/>
  <c r="N44" i="9" s="1"/>
  <c r="S65" i="6"/>
  <c r="S28" i="6"/>
  <c r="S63" i="6"/>
  <c r="S13" i="6"/>
  <c r="S70" i="6"/>
  <c r="S22" i="6"/>
  <c r="S14" i="6"/>
  <c r="S68" i="6"/>
  <c r="S17" i="6"/>
  <c r="S51" i="6"/>
  <c r="N45" i="6"/>
  <c r="R54" i="9" s="1"/>
  <c r="Z54" i="9" s="1"/>
  <c r="AB54" i="9" s="1"/>
  <c r="S64" i="6"/>
  <c r="S27" i="6"/>
  <c r="S44" i="6"/>
  <c r="S49" i="6"/>
  <c r="S50" i="6"/>
  <c r="N39" i="6"/>
  <c r="R53" i="9" s="1"/>
  <c r="Z53" i="9" s="1"/>
  <c r="AB53" i="9" s="1"/>
  <c r="W8" i="6"/>
  <c r="R44" i="9" s="1"/>
  <c r="Z44" i="9" s="1"/>
  <c r="AB44" i="9" s="1"/>
  <c r="W12" i="6"/>
  <c r="R48" i="9" s="1"/>
  <c r="Z48" i="9" s="1"/>
  <c r="AB48" i="9" s="1"/>
  <c r="CZ30" i="9"/>
  <c r="DA30" i="9" s="1"/>
  <c r="S12" i="6"/>
  <c r="S25" i="6"/>
  <c r="S41" i="6"/>
  <c r="S69" i="6"/>
  <c r="R39" i="6"/>
  <c r="BV53" i="9" s="1"/>
  <c r="CD53" i="9" s="1"/>
  <c r="CF53" i="9" s="1"/>
  <c r="S35" i="6"/>
  <c r="S36" i="6"/>
  <c r="AA8" i="6"/>
  <c r="BV44" i="9" s="1"/>
  <c r="CD44" i="9" s="1"/>
  <c r="CF44" i="9" s="1"/>
  <c r="S42" i="6"/>
  <c r="S23" i="6"/>
  <c r="S96" i="6"/>
  <c r="S95" i="6"/>
  <c r="S99" i="6"/>
  <c r="S10" i="6"/>
  <c r="C34" i="11"/>
  <c r="R16" i="6"/>
  <c r="AA9" i="6" s="1"/>
  <c r="BV45" i="9" s="1"/>
  <c r="CD45" i="9" s="1"/>
  <c r="CF45" i="9" s="1"/>
  <c r="S97" i="6"/>
  <c r="N16" i="6"/>
  <c r="O27" i="8"/>
  <c r="O44" i="8"/>
  <c r="N8" i="6"/>
  <c r="N100" i="6"/>
  <c r="R45" i="6"/>
  <c r="AA11" i="6"/>
  <c r="BV47" i="9" s="1"/>
  <c r="CD47" i="9" s="1"/>
  <c r="CF47" i="9" s="1"/>
  <c r="N66" i="6"/>
  <c r="R8" i="6"/>
  <c r="R100" i="6"/>
  <c r="R52" i="6"/>
  <c r="AA12" i="6"/>
  <c r="BV48" i="9" s="1"/>
  <c r="CD48" i="9" s="1"/>
  <c r="CF48" i="9" s="1"/>
  <c r="R66" i="6"/>
  <c r="S20" i="6"/>
  <c r="N72" i="6"/>
  <c r="R56" i="9" s="1"/>
  <c r="Z56" i="9" s="1"/>
  <c r="AB56" i="9" s="1"/>
  <c r="N52" i="6"/>
  <c r="G27" i="8"/>
  <c r="G44" i="8"/>
  <c r="V11" i="6"/>
  <c r="D47" i="9" s="1"/>
  <c r="F47" i="9" s="1"/>
  <c r="R72" i="6"/>
  <c r="BV56" i="9" s="1"/>
  <c r="CD56" i="9" s="1"/>
  <c r="CF56" i="9" s="1"/>
  <c r="W11" i="6"/>
  <c r="R47" i="9" s="1"/>
  <c r="Z47" i="9" s="1"/>
  <c r="AB47" i="9" s="1"/>
  <c r="S19" i="6"/>
  <c r="M66" i="6"/>
  <c r="V12" i="6"/>
  <c r="D48" i="9" s="1"/>
  <c r="M39" i="6"/>
  <c r="D53" i="9" s="1"/>
  <c r="F53" i="9" s="1"/>
  <c r="F24" i="9"/>
  <c r="F13" i="9"/>
  <c r="M9" i="6"/>
  <c r="S9" i="6" s="1"/>
  <c r="M100" i="6"/>
  <c r="AL58" i="9"/>
  <c r="DK32" i="9"/>
  <c r="DK27" i="9"/>
  <c r="DG27" i="9"/>
  <c r="DG32" i="9"/>
  <c r="CR28" i="9"/>
  <c r="CT28" i="9" s="1"/>
  <c r="CL28" i="9"/>
  <c r="DF30" i="9"/>
  <c r="DH20" i="9"/>
  <c r="DB30" i="9"/>
  <c r="DD20" i="9"/>
  <c r="L9" i="8"/>
  <c r="L13" i="8"/>
  <c r="L12" i="8"/>
  <c r="L14" i="8"/>
  <c r="L15" i="8"/>
  <c r="L17" i="8"/>
  <c r="AJ13" i="8" s="1"/>
  <c r="L10" i="8"/>
  <c r="L16" i="8"/>
  <c r="L8" i="8"/>
  <c r="L11" i="8"/>
  <c r="F35" i="9"/>
  <c r="F38" i="9"/>
  <c r="M25" i="9"/>
  <c r="N25" i="9" s="1"/>
  <c r="F41" i="9"/>
  <c r="F37" i="9"/>
  <c r="F32" i="9"/>
  <c r="F31" i="9"/>
  <c r="F25" i="9"/>
  <c r="F28" i="9"/>
  <c r="F40" i="9"/>
  <c r="F33" i="9"/>
  <c r="F30" i="9"/>
  <c r="P11" i="8"/>
  <c r="P12" i="8"/>
  <c r="P8" i="8"/>
  <c r="P9" i="8"/>
  <c r="P15" i="8"/>
  <c r="P10" i="8"/>
  <c r="P17" i="8"/>
  <c r="AL13" i="8" s="1"/>
  <c r="P14" i="8"/>
  <c r="P13" i="8"/>
  <c r="P16" i="8"/>
  <c r="DN30" i="9"/>
  <c r="DP20" i="9"/>
  <c r="T44" i="9"/>
  <c r="AA25" i="9"/>
  <c r="AB25" i="9" s="1"/>
  <c r="T28" i="9"/>
  <c r="T32" i="9"/>
  <c r="T56" i="9"/>
  <c r="T48" i="9"/>
  <c r="T31" i="9"/>
  <c r="T38" i="9"/>
  <c r="T53" i="9"/>
  <c r="T55" i="9"/>
  <c r="T35" i="9"/>
  <c r="T41" i="9"/>
  <c r="T54" i="9"/>
  <c r="T45" i="9"/>
  <c r="T33" i="9"/>
  <c r="T30" i="9"/>
  <c r="T50" i="9"/>
  <c r="T57" i="9"/>
  <c r="T25" i="9"/>
  <c r="T40" i="9"/>
  <c r="T37" i="9"/>
  <c r="T58" i="9"/>
  <c r="T49" i="9"/>
  <c r="T47" i="9"/>
  <c r="T46" i="9"/>
  <c r="T43" i="9"/>
  <c r="N12" i="8"/>
  <c r="N9" i="8"/>
  <c r="N10" i="8"/>
  <c r="N8" i="8"/>
  <c r="K17" i="12"/>
  <c r="DX20" i="9"/>
  <c r="DV30" i="9"/>
  <c r="DL20" i="9"/>
  <c r="DJ30" i="9"/>
  <c r="U18" i="12"/>
  <c r="U19" i="12"/>
  <c r="U17" i="12"/>
  <c r="DT20" i="9"/>
  <c r="DR30" i="9"/>
  <c r="CX24" i="9"/>
  <c r="CZ24" i="9" s="1"/>
  <c r="DA24" i="9" s="1"/>
  <c r="CS41" i="9"/>
  <c r="CT41" i="9" s="1"/>
  <c r="S17" i="12"/>
  <c r="AV25" i="9"/>
  <c r="AV41" i="9"/>
  <c r="AV50" i="9"/>
  <c r="AV37" i="9"/>
  <c r="AV43" i="9"/>
  <c r="AV40" i="9"/>
  <c r="AV36" i="9"/>
  <c r="AV33" i="9"/>
  <c r="AV49" i="9"/>
  <c r="AV44" i="9"/>
  <c r="AV28" i="9"/>
  <c r="AV46" i="9"/>
  <c r="AV54" i="9"/>
  <c r="AV29" i="9"/>
  <c r="AV39" i="9"/>
  <c r="AV32" i="9"/>
  <c r="AV35" i="9"/>
  <c r="AV56" i="9"/>
  <c r="BC25" i="9"/>
  <c r="BD25" i="9" s="1"/>
  <c r="AV34" i="9"/>
  <c r="AV53" i="9"/>
  <c r="AV58" i="9"/>
  <c r="AV48" i="9"/>
  <c r="AV30" i="9"/>
  <c r="AV38" i="9"/>
  <c r="AV45" i="9"/>
  <c r="AV57" i="9"/>
  <c r="AV31" i="9"/>
  <c r="AV47" i="9"/>
  <c r="AV55" i="9"/>
  <c r="C10" i="8"/>
  <c r="DJ24" i="9"/>
  <c r="DL24" i="9" s="1"/>
  <c r="DM24" i="9" s="1"/>
  <c r="AO41" i="9"/>
  <c r="AP41" i="9" s="1"/>
  <c r="O17" i="12"/>
  <c r="M17" i="12"/>
  <c r="M18" i="12"/>
  <c r="M19" i="12"/>
  <c r="BX54" i="9"/>
  <c r="BX48" i="9"/>
  <c r="BX41" i="9"/>
  <c r="BX50" i="9"/>
  <c r="BX56" i="9"/>
  <c r="BX49" i="9"/>
  <c r="BX53" i="9"/>
  <c r="BX30" i="9"/>
  <c r="BX45" i="9"/>
  <c r="BX33" i="9"/>
  <c r="BX55" i="9"/>
  <c r="BX35" i="9"/>
  <c r="BX38" i="9"/>
  <c r="BX58" i="9"/>
  <c r="BX25" i="9"/>
  <c r="BX46" i="9"/>
  <c r="BX28" i="9"/>
  <c r="BX47" i="9"/>
  <c r="BX32" i="9"/>
  <c r="BX57" i="9"/>
  <c r="BX34" i="9"/>
  <c r="BX39" i="9"/>
  <c r="BX36" i="9"/>
  <c r="BX31" i="9"/>
  <c r="BX40" i="9"/>
  <c r="CE25" i="9"/>
  <c r="CF25" i="9" s="1"/>
  <c r="BX44" i="9"/>
  <c r="BX43" i="9"/>
  <c r="BX37" i="9"/>
  <c r="BX29" i="9"/>
  <c r="E44" i="8"/>
  <c r="F8" i="8"/>
  <c r="F10" i="8"/>
  <c r="F9" i="8"/>
  <c r="F12" i="8"/>
  <c r="E27" i="8"/>
  <c r="AH46" i="9"/>
  <c r="AH40" i="9"/>
  <c r="AH37" i="9"/>
  <c r="AH48" i="9"/>
  <c r="AH33" i="9"/>
  <c r="AH36" i="9"/>
  <c r="AH35" i="9"/>
  <c r="AH29" i="9"/>
  <c r="AH38" i="9"/>
  <c r="AH28" i="9"/>
  <c r="AH41" i="9"/>
  <c r="AO25" i="9"/>
  <c r="AP25" i="9" s="1"/>
  <c r="AH32" i="9"/>
  <c r="AH34" i="9"/>
  <c r="AH30" i="9"/>
  <c r="AH39" i="9"/>
  <c r="AH25" i="9"/>
  <c r="AH31" i="9"/>
  <c r="BJ31" i="9"/>
  <c r="BJ36" i="9"/>
  <c r="BJ38" i="9"/>
  <c r="BJ37" i="9"/>
  <c r="BJ40" i="9"/>
  <c r="BJ33" i="9"/>
  <c r="BJ25" i="9"/>
  <c r="BJ41" i="9"/>
  <c r="BJ30" i="9"/>
  <c r="BJ32" i="9"/>
  <c r="BJ34" i="9"/>
  <c r="BQ25" i="9"/>
  <c r="BR25" i="9" s="1"/>
  <c r="BJ29" i="9"/>
  <c r="BJ39" i="9"/>
  <c r="BJ28" i="9"/>
  <c r="BJ35" i="9"/>
  <c r="Q18" i="12"/>
  <c r="Q19" i="12"/>
  <c r="Q17" i="12"/>
  <c r="J10" i="8"/>
  <c r="J8" i="8"/>
  <c r="J12" i="8"/>
  <c r="J9" i="8"/>
  <c r="H13" i="8"/>
  <c r="H8" i="8"/>
  <c r="H17" i="8"/>
  <c r="AH13" i="8" s="1"/>
  <c r="H10" i="8"/>
  <c r="H15" i="8"/>
  <c r="H14" i="8"/>
  <c r="H16" i="8"/>
  <c r="H12" i="8"/>
  <c r="H11" i="8"/>
  <c r="H9" i="8"/>
  <c r="L18" i="12" l="1"/>
  <c r="L19" i="12" s="1"/>
  <c r="J18" i="12"/>
  <c r="J19" i="12" s="1"/>
  <c r="BJ47" i="9"/>
  <c r="M73" i="6"/>
  <c r="V14" i="6" s="1"/>
  <c r="BJ44" i="9"/>
  <c r="AH53" i="9"/>
  <c r="BJ56" i="9"/>
  <c r="AH45" i="9"/>
  <c r="BJ46" i="9"/>
  <c r="BJ48" i="9"/>
  <c r="S18" i="12"/>
  <c r="BJ54" i="9"/>
  <c r="BJ45" i="9"/>
  <c r="AH56" i="9"/>
  <c r="AH44" i="9"/>
  <c r="AH47" i="9"/>
  <c r="AH55" i="9"/>
  <c r="AH54" i="9"/>
  <c r="L45" i="9"/>
  <c r="N45" i="9" s="1"/>
  <c r="P46" i="6"/>
  <c r="K15" i="8" s="1"/>
  <c r="O46" i="6"/>
  <c r="X13" i="6" s="1"/>
  <c r="AU57" i="9"/>
  <c r="DN26" i="9" s="1"/>
  <c r="DP26" i="9" s="1"/>
  <c r="DQ26" i="9" s="1"/>
  <c r="O73" i="6"/>
  <c r="X14" i="6" s="1"/>
  <c r="F33" i="11"/>
  <c r="F35" i="11" s="1"/>
  <c r="F23" i="11"/>
  <c r="F40" i="11" s="1"/>
  <c r="E33" i="11"/>
  <c r="E35" i="11" s="1"/>
  <c r="E23" i="11"/>
  <c r="E40" i="11" s="1"/>
  <c r="AG57" i="9"/>
  <c r="P73" i="6"/>
  <c r="Y14" i="6" s="1"/>
  <c r="J42" i="8"/>
  <c r="J44" i="8"/>
  <c r="J46" i="8"/>
  <c r="J43" i="8"/>
  <c r="O29" i="6"/>
  <c r="I13" i="8" s="1"/>
  <c r="J13" i="8" s="1"/>
  <c r="X7" i="6"/>
  <c r="N18" i="12"/>
  <c r="J26" i="8"/>
  <c r="J27" i="8"/>
  <c r="J29" i="8"/>
  <c r="J25" i="8"/>
  <c r="L47" i="8"/>
  <c r="L43" i="8"/>
  <c r="L49" i="8"/>
  <c r="L45" i="8"/>
  <c r="L50" i="8"/>
  <c r="L42" i="8"/>
  <c r="L44" i="8"/>
  <c r="L46" i="8"/>
  <c r="L51" i="8"/>
  <c r="L48" i="8"/>
  <c r="Y7" i="6"/>
  <c r="AT43" i="9" s="1"/>
  <c r="P29" i="6"/>
  <c r="K13" i="8" s="1"/>
  <c r="P18" i="12"/>
  <c r="P19" i="12" s="1"/>
  <c r="L31" i="8"/>
  <c r="L30" i="8"/>
  <c r="L29" i="8"/>
  <c r="L33" i="8"/>
  <c r="L25" i="8"/>
  <c r="L26" i="8"/>
  <c r="L27" i="8"/>
  <c r="L32" i="8"/>
  <c r="L28" i="8"/>
  <c r="L34" i="8"/>
  <c r="CO58" i="9"/>
  <c r="CY32" i="9" s="1"/>
  <c r="CP50" i="9"/>
  <c r="CJ53" i="9"/>
  <c r="CR53" i="9" s="1"/>
  <c r="Q29" i="6"/>
  <c r="M13" i="8" s="1"/>
  <c r="F56" i="9"/>
  <c r="CJ56" i="9"/>
  <c r="CL56" i="9" s="1"/>
  <c r="N25" i="8"/>
  <c r="N27" i="8"/>
  <c r="BP53" i="9"/>
  <c r="BR53" i="9" s="1"/>
  <c r="Q73" i="6"/>
  <c r="M16" i="8" s="1"/>
  <c r="BH55" i="9"/>
  <c r="N29" i="8"/>
  <c r="BH43" i="9"/>
  <c r="BJ43" i="9" s="1"/>
  <c r="G33" i="11"/>
  <c r="G35" i="11" s="1"/>
  <c r="G23" i="11"/>
  <c r="G40" i="11" s="1"/>
  <c r="Q46" i="6"/>
  <c r="CJ46" i="9"/>
  <c r="CL46" i="9" s="1"/>
  <c r="L46" i="9"/>
  <c r="N46" i="9" s="1"/>
  <c r="S39" i="6"/>
  <c r="S72" i="6"/>
  <c r="CJ48" i="9"/>
  <c r="CL48" i="9" s="1"/>
  <c r="F44" i="9"/>
  <c r="AB11" i="6"/>
  <c r="S66" i="6"/>
  <c r="L47" i="9"/>
  <c r="N47" i="9" s="1"/>
  <c r="L56" i="9"/>
  <c r="N56" i="9" s="1"/>
  <c r="N46" i="6"/>
  <c r="G15" i="8" s="1"/>
  <c r="F48" i="9"/>
  <c r="L48" i="9"/>
  <c r="N48" i="9" s="1"/>
  <c r="D55" i="9"/>
  <c r="F55" i="9" s="1"/>
  <c r="AB8" i="6"/>
  <c r="S52" i="6"/>
  <c r="AB12" i="6"/>
  <c r="CJ47" i="9"/>
  <c r="CL47" i="9" s="1"/>
  <c r="AB10" i="6"/>
  <c r="S45" i="6"/>
  <c r="CJ44" i="9"/>
  <c r="CL44" i="9" s="1"/>
  <c r="I22" i="11"/>
  <c r="I34" i="11" s="1"/>
  <c r="S100" i="6"/>
  <c r="I21" i="11"/>
  <c r="I33" i="11" s="1"/>
  <c r="C33" i="11"/>
  <c r="C35" i="11" s="1"/>
  <c r="Z16" i="12"/>
  <c r="T18" i="12" s="1"/>
  <c r="T19" i="12" s="1"/>
  <c r="W9" i="6"/>
  <c r="R45" i="9" s="1"/>
  <c r="S16" i="6"/>
  <c r="AB9" i="6" s="1"/>
  <c r="R29" i="6"/>
  <c r="O13" i="8" s="1"/>
  <c r="AA7" i="6"/>
  <c r="W7" i="6"/>
  <c r="R43" i="9" s="1"/>
  <c r="N29" i="6"/>
  <c r="G13" i="8" s="1"/>
  <c r="S8" i="6"/>
  <c r="AB7" i="6" s="1"/>
  <c r="P25" i="8"/>
  <c r="P32" i="8"/>
  <c r="P28" i="8"/>
  <c r="P34" i="8"/>
  <c r="P33" i="8"/>
  <c r="P30" i="8"/>
  <c r="P26" i="8"/>
  <c r="P29" i="8"/>
  <c r="P27" i="8"/>
  <c r="P31" i="8"/>
  <c r="R46" i="6"/>
  <c r="BV54" i="9"/>
  <c r="CJ54" i="9" s="1"/>
  <c r="CR54" i="9" s="1"/>
  <c r="P51" i="8"/>
  <c r="P45" i="8"/>
  <c r="P50" i="8"/>
  <c r="P49" i="8"/>
  <c r="P43" i="8"/>
  <c r="P46" i="8"/>
  <c r="P42" i="8"/>
  <c r="P44" i="8"/>
  <c r="P47" i="8"/>
  <c r="P48" i="8"/>
  <c r="H34" i="8"/>
  <c r="H29" i="8"/>
  <c r="H26" i="8"/>
  <c r="H28" i="8"/>
  <c r="H31" i="8"/>
  <c r="H30" i="8"/>
  <c r="H25" i="8"/>
  <c r="H32" i="8"/>
  <c r="H27" i="8"/>
  <c r="H33" i="8"/>
  <c r="BV55" i="9"/>
  <c r="CD55" i="9" s="1"/>
  <c r="CF55" i="9" s="1"/>
  <c r="R73" i="6"/>
  <c r="H33" i="11"/>
  <c r="H35" i="11" s="1"/>
  <c r="H23" i="11"/>
  <c r="H40" i="11" s="1"/>
  <c r="D33" i="11"/>
  <c r="D35" i="11" s="1"/>
  <c r="D23" i="11"/>
  <c r="D40" i="11" s="1"/>
  <c r="H49" i="8"/>
  <c r="H48" i="8"/>
  <c r="H47" i="8"/>
  <c r="H44" i="8"/>
  <c r="H43" i="8"/>
  <c r="H51" i="8"/>
  <c r="H45" i="8"/>
  <c r="H46" i="8"/>
  <c r="H42" i="8"/>
  <c r="H50" i="8"/>
  <c r="R55" i="9"/>
  <c r="Z55" i="9" s="1"/>
  <c r="AB55" i="9" s="1"/>
  <c r="N73" i="6"/>
  <c r="C23" i="11"/>
  <c r="C40" i="11" s="1"/>
  <c r="M46" i="6"/>
  <c r="M29" i="6"/>
  <c r="E13" i="8" s="1"/>
  <c r="E47" i="8" s="1"/>
  <c r="F47" i="8" s="1"/>
  <c r="V7" i="6"/>
  <c r="D43" i="9" s="1"/>
  <c r="F43" i="9" s="1"/>
  <c r="DT30" i="9"/>
  <c r="DU30" i="9" s="1"/>
  <c r="DU20" i="9"/>
  <c r="L53" i="9"/>
  <c r="N53" i="9" s="1"/>
  <c r="F43" i="8"/>
  <c r="F44" i="8"/>
  <c r="F42" i="8"/>
  <c r="F46" i="8"/>
  <c r="DX30" i="9"/>
  <c r="DY30" i="9" s="1"/>
  <c r="DY20" i="9"/>
  <c r="L54" i="9"/>
  <c r="N54" i="9" s="1"/>
  <c r="DD30" i="9"/>
  <c r="DE30" i="9" s="1"/>
  <c r="DE20" i="9"/>
  <c r="I17" i="12"/>
  <c r="DQ20" i="9"/>
  <c r="DP30" i="9"/>
  <c r="DQ30" i="9" s="1"/>
  <c r="F27" i="8"/>
  <c r="F29" i="8"/>
  <c r="F26" i="8"/>
  <c r="F25" i="8"/>
  <c r="D10" i="8"/>
  <c r="D9" i="8"/>
  <c r="D12" i="8"/>
  <c r="D8" i="8"/>
  <c r="DM20" i="9"/>
  <c r="DL30" i="9"/>
  <c r="DM30" i="9" s="1"/>
  <c r="DI20" i="9"/>
  <c r="DH30" i="9"/>
  <c r="DI30" i="9" s="1"/>
  <c r="V13" i="6" l="1"/>
  <c r="V15" i="6" s="1"/>
  <c r="M80" i="6"/>
  <c r="Y13" i="6"/>
  <c r="Y15" i="6" s="1"/>
  <c r="BP55" i="9"/>
  <c r="BR55" i="9" s="1"/>
  <c r="BJ55" i="9"/>
  <c r="M30" i="8"/>
  <c r="N30" i="8" s="1"/>
  <c r="N13" i="8"/>
  <c r="I16" i="8"/>
  <c r="J16" i="8" s="1"/>
  <c r="M50" i="8"/>
  <c r="N50" i="8" s="1"/>
  <c r="N16" i="8"/>
  <c r="DJ26" i="9"/>
  <c r="DL26" i="9" s="1"/>
  <c r="DM26" i="9" s="1"/>
  <c r="AH57" i="9"/>
  <c r="N19" i="12"/>
  <c r="O19" i="12" s="1"/>
  <c r="O18" i="12"/>
  <c r="I15" i="8"/>
  <c r="I32" i="8" s="1"/>
  <c r="J32" i="8" s="1"/>
  <c r="K16" i="8"/>
  <c r="K50" i="8" s="1"/>
  <c r="BC57" i="9"/>
  <c r="BD57" i="9" s="1"/>
  <c r="AO57" i="9"/>
  <c r="AP57" i="9" s="1"/>
  <c r="CL53" i="9"/>
  <c r="S73" i="6"/>
  <c r="AB14" i="6" s="1"/>
  <c r="P80" i="6"/>
  <c r="Z14" i="6"/>
  <c r="O80" i="6"/>
  <c r="AJ9" i="8"/>
  <c r="K49" i="8"/>
  <c r="K32" i="8"/>
  <c r="BB43" i="9"/>
  <c r="BD43" i="9" s="1"/>
  <c r="AU49" i="9"/>
  <c r="AI8" i="8"/>
  <c r="I30" i="8"/>
  <c r="J30" i="8" s="1"/>
  <c r="I47" i="8"/>
  <c r="J47" i="8" s="1"/>
  <c r="I14" i="8"/>
  <c r="J14" i="8" s="1"/>
  <c r="AJ8" i="8"/>
  <c r="K47" i="8"/>
  <c r="K30" i="8"/>
  <c r="K14" i="8"/>
  <c r="AF43" i="9"/>
  <c r="AH43" i="9" s="1"/>
  <c r="X15" i="6"/>
  <c r="CP58" i="9"/>
  <c r="CY27" i="9"/>
  <c r="M47" i="8"/>
  <c r="N47" i="8" s="1"/>
  <c r="M14" i="8"/>
  <c r="N14" i="8" s="1"/>
  <c r="AK8" i="8"/>
  <c r="BI57" i="9"/>
  <c r="BJ57" i="9" s="1"/>
  <c r="BP43" i="9"/>
  <c r="BR43" i="9" s="1"/>
  <c r="BI49" i="9"/>
  <c r="BJ49" i="9" s="1"/>
  <c r="Z13" i="6"/>
  <c r="M15" i="8"/>
  <c r="Q80" i="6"/>
  <c r="M33" i="8"/>
  <c r="N33" i="8" s="1"/>
  <c r="AK10" i="8"/>
  <c r="CR48" i="9"/>
  <c r="CT48" i="9" s="1"/>
  <c r="CR46" i="9"/>
  <c r="CT46" i="9" s="1"/>
  <c r="S46" i="6"/>
  <c r="CR47" i="9"/>
  <c r="CT47" i="9" s="1"/>
  <c r="L55" i="9"/>
  <c r="N55" i="9" s="1"/>
  <c r="E57" i="9"/>
  <c r="F57" i="9" s="1"/>
  <c r="E16" i="8"/>
  <c r="F16" i="8" s="1"/>
  <c r="W13" i="6"/>
  <c r="CJ55" i="9"/>
  <c r="CR55" i="9" s="1"/>
  <c r="CT55" i="9" s="1"/>
  <c r="E30" i="8"/>
  <c r="F30" i="8" s="1"/>
  <c r="CR56" i="9"/>
  <c r="CT56" i="9" s="1"/>
  <c r="CR44" i="9"/>
  <c r="CT44" i="9" s="1"/>
  <c r="I23" i="11"/>
  <c r="E14" i="8"/>
  <c r="F14" i="8" s="1"/>
  <c r="E49" i="9"/>
  <c r="F49" i="9" s="1"/>
  <c r="H18" i="12"/>
  <c r="H19" i="12" s="1"/>
  <c r="I19" i="12" s="1"/>
  <c r="AG8" i="8"/>
  <c r="S29" i="6"/>
  <c r="C13" i="8" s="1"/>
  <c r="AF8" i="8" s="1"/>
  <c r="K18" i="12"/>
  <c r="I40" i="11"/>
  <c r="Z45" i="9"/>
  <c r="AB45" i="9" s="1"/>
  <c r="CJ45" i="9"/>
  <c r="F13" i="8"/>
  <c r="G16" i="8"/>
  <c r="G11" i="8" s="1"/>
  <c r="W14" i="6"/>
  <c r="R80" i="6"/>
  <c r="AA13" i="6"/>
  <c r="O15" i="8"/>
  <c r="BV43" i="9"/>
  <c r="N80" i="6"/>
  <c r="CD54" i="9"/>
  <c r="CF54" i="9" s="1"/>
  <c r="BW57" i="9"/>
  <c r="Z43" i="9"/>
  <c r="AB43" i="9" s="1"/>
  <c r="S49" i="9"/>
  <c r="G47" i="8"/>
  <c r="G30" i="8"/>
  <c r="AH8" i="8"/>
  <c r="G14" i="8"/>
  <c r="AH9" i="8"/>
  <c r="G32" i="8"/>
  <c r="G49" i="8"/>
  <c r="O16" i="8"/>
  <c r="AA14" i="6"/>
  <c r="O30" i="8"/>
  <c r="AL8" i="8"/>
  <c r="O47" i="8"/>
  <c r="O14" i="8"/>
  <c r="K19" i="12"/>
  <c r="I18" i="12"/>
  <c r="S57" i="9"/>
  <c r="E15" i="8"/>
  <c r="F15" i="8" s="1"/>
  <c r="L43" i="9"/>
  <c r="N43" i="9" s="1"/>
  <c r="CT54" i="9"/>
  <c r="CL54" i="9"/>
  <c r="CT53" i="9"/>
  <c r="I35" i="11"/>
  <c r="J33" i="11" s="1"/>
  <c r="AI10" i="8" l="1"/>
  <c r="I50" i="8"/>
  <c r="J50" i="8" s="1"/>
  <c r="M49" i="8"/>
  <c r="N49" i="8" s="1"/>
  <c r="N15" i="8"/>
  <c r="I33" i="8"/>
  <c r="J33" i="8" s="1"/>
  <c r="AI9" i="8"/>
  <c r="J15" i="8"/>
  <c r="I49" i="8"/>
  <c r="I11" i="8"/>
  <c r="J11" i="8" s="1"/>
  <c r="K33" i="8"/>
  <c r="K28" i="8" s="1"/>
  <c r="AJ10" i="8"/>
  <c r="K11" i="8"/>
  <c r="C16" i="8"/>
  <c r="S80" i="6"/>
  <c r="Z15" i="6"/>
  <c r="K45" i="8"/>
  <c r="AG49" i="9"/>
  <c r="AH49" i="9" s="1"/>
  <c r="AN43" i="9"/>
  <c r="AP43" i="9" s="1"/>
  <c r="BC49" i="9"/>
  <c r="BD49" i="9" s="1"/>
  <c r="DN25" i="9"/>
  <c r="DP25" i="9" s="1"/>
  <c r="DQ25" i="9" s="1"/>
  <c r="AU50" i="9"/>
  <c r="I31" i="8"/>
  <c r="J31" i="8" s="1"/>
  <c r="I17" i="8"/>
  <c r="E11" i="11" s="1"/>
  <c r="I48" i="8"/>
  <c r="J48" i="8" s="1"/>
  <c r="K31" i="8"/>
  <c r="K48" i="8"/>
  <c r="K17" i="8"/>
  <c r="F11" i="11" s="1"/>
  <c r="CJ43" i="9"/>
  <c r="M48" i="8"/>
  <c r="N48" i="8" s="1"/>
  <c r="M31" i="8"/>
  <c r="N31" i="8" s="1"/>
  <c r="BQ57" i="9"/>
  <c r="BR57" i="9" s="1"/>
  <c r="DR26" i="9"/>
  <c r="DT26" i="9" s="1"/>
  <c r="DU26" i="9" s="1"/>
  <c r="AB13" i="6"/>
  <c r="AB15" i="6" s="1"/>
  <c r="DR25" i="9"/>
  <c r="DT25" i="9" s="1"/>
  <c r="DU25" i="9" s="1"/>
  <c r="BQ49" i="9"/>
  <c r="BR49" i="9" s="1"/>
  <c r="BI50" i="9"/>
  <c r="BJ50" i="9" s="1"/>
  <c r="AK9" i="8"/>
  <c r="M32" i="8"/>
  <c r="M17" i="8"/>
  <c r="G11" i="11" s="1"/>
  <c r="M11" i="8"/>
  <c r="N11" i="8" s="1"/>
  <c r="J31" i="11"/>
  <c r="J32" i="11"/>
  <c r="J27" i="11"/>
  <c r="I39" i="11"/>
  <c r="C15" i="8"/>
  <c r="D15" i="8" s="1"/>
  <c r="M57" i="9"/>
  <c r="N57" i="9" s="1"/>
  <c r="AG10" i="8"/>
  <c r="E50" i="8"/>
  <c r="F50" i="8" s="1"/>
  <c r="CK57" i="9"/>
  <c r="CL57" i="9" s="1"/>
  <c r="E33" i="8"/>
  <c r="F33" i="8" s="1"/>
  <c r="DB26" i="9"/>
  <c r="DD26" i="9" s="1"/>
  <c r="DE26" i="9" s="1"/>
  <c r="W15" i="6"/>
  <c r="AG9" i="8"/>
  <c r="CL55" i="9"/>
  <c r="AA15" i="6"/>
  <c r="E48" i="8"/>
  <c r="F48" i="8" s="1"/>
  <c r="E32" i="8"/>
  <c r="F32" i="8" s="1"/>
  <c r="E11" i="8"/>
  <c r="F11" i="8" s="1"/>
  <c r="E49" i="8"/>
  <c r="E31" i="8"/>
  <c r="F31" i="8" s="1"/>
  <c r="D13" i="8"/>
  <c r="E17" i="8"/>
  <c r="C11" i="11" s="1"/>
  <c r="M49" i="9"/>
  <c r="N49" i="9" s="1"/>
  <c r="E50" i="9"/>
  <c r="F50" i="9" s="1"/>
  <c r="C14" i="8"/>
  <c r="D14" i="8" s="1"/>
  <c r="DB25" i="9"/>
  <c r="DD25" i="9" s="1"/>
  <c r="DE25" i="9" s="1"/>
  <c r="CR45" i="9"/>
  <c r="CT45" i="9" s="1"/>
  <c r="CL45" i="9"/>
  <c r="O49" i="8"/>
  <c r="AL9" i="8"/>
  <c r="O32" i="8"/>
  <c r="G33" i="8"/>
  <c r="G28" i="8" s="1"/>
  <c r="G50" i="8"/>
  <c r="G45" i="8" s="1"/>
  <c r="AH10" i="8"/>
  <c r="AL10" i="8"/>
  <c r="O33" i="8"/>
  <c r="O50" i="8"/>
  <c r="G31" i="8"/>
  <c r="G48" i="8"/>
  <c r="G17" i="8"/>
  <c r="D11" i="11" s="1"/>
  <c r="DV26" i="9"/>
  <c r="DX26" i="9" s="1"/>
  <c r="DY26" i="9" s="1"/>
  <c r="CE57" i="9"/>
  <c r="CF57" i="9" s="1"/>
  <c r="BW49" i="9"/>
  <c r="CD43" i="9"/>
  <c r="CF43" i="9" s="1"/>
  <c r="O11" i="8"/>
  <c r="DF26" i="9"/>
  <c r="DH26" i="9" s="1"/>
  <c r="DI26" i="9" s="1"/>
  <c r="AA57" i="9"/>
  <c r="AB57" i="9" s="1"/>
  <c r="O48" i="8"/>
  <c r="O31" i="8"/>
  <c r="O17" i="8"/>
  <c r="H11" i="11" s="1"/>
  <c r="AA49" i="9"/>
  <c r="AB49" i="9" s="1"/>
  <c r="DF25" i="9"/>
  <c r="DH25" i="9" s="1"/>
  <c r="DI25" i="9" s="1"/>
  <c r="S50" i="9"/>
  <c r="J29" i="11"/>
  <c r="J30" i="11"/>
  <c r="J34" i="11"/>
  <c r="H36" i="11"/>
  <c r="F36" i="11"/>
  <c r="I36" i="11"/>
  <c r="G36" i="11"/>
  <c r="J35" i="11"/>
  <c r="C36" i="11"/>
  <c r="E36" i="11"/>
  <c r="D36" i="11"/>
  <c r="J28" i="11"/>
  <c r="J17" i="8" l="1"/>
  <c r="AI13" i="8" s="1"/>
  <c r="F17" i="8"/>
  <c r="AG13" i="8" s="1"/>
  <c r="I28" i="8"/>
  <c r="J28" i="8" s="1"/>
  <c r="M28" i="8"/>
  <c r="N28" i="8" s="1"/>
  <c r="N32" i="8"/>
  <c r="M51" i="8"/>
  <c r="N51" i="8" s="1"/>
  <c r="N17" i="8"/>
  <c r="AK13" i="8" s="1"/>
  <c r="M45" i="8"/>
  <c r="N45" i="8" s="1"/>
  <c r="I45" i="8"/>
  <c r="J45" i="8" s="1"/>
  <c r="J49" i="8"/>
  <c r="AF10" i="8"/>
  <c r="D16" i="8"/>
  <c r="BC50" i="9"/>
  <c r="BD50" i="9" s="1"/>
  <c r="DN31" i="9"/>
  <c r="DP31" i="9" s="1"/>
  <c r="DQ31" i="9" s="1"/>
  <c r="AU58" i="9"/>
  <c r="AO49" i="9"/>
  <c r="AP49" i="9" s="1"/>
  <c r="DJ25" i="9"/>
  <c r="DL25" i="9" s="1"/>
  <c r="DM25" i="9" s="1"/>
  <c r="AG50" i="9"/>
  <c r="AH50" i="9" s="1"/>
  <c r="AJ11" i="8"/>
  <c r="AJ12" i="8" s="1"/>
  <c r="K34" i="8"/>
  <c r="K51" i="8"/>
  <c r="I51" i="8"/>
  <c r="J51" i="8" s="1"/>
  <c r="I34" i="8"/>
  <c r="J34" i="8" s="1"/>
  <c r="AI11" i="8"/>
  <c r="AI12" i="8" s="1"/>
  <c r="DR31" i="9"/>
  <c r="DT31" i="9" s="1"/>
  <c r="DU31" i="9" s="1"/>
  <c r="BQ50" i="9"/>
  <c r="BR50" i="9" s="1"/>
  <c r="BI58" i="9"/>
  <c r="BJ58" i="9" s="1"/>
  <c r="M34" i="8"/>
  <c r="N34" i="8" s="1"/>
  <c r="AK11" i="8"/>
  <c r="AK12" i="8" s="1"/>
  <c r="C11" i="8"/>
  <c r="D11" i="8" s="1"/>
  <c r="CS57" i="9"/>
  <c r="CT57" i="9" s="1"/>
  <c r="AF9" i="8"/>
  <c r="E28" i="8"/>
  <c r="F28" i="8" s="1"/>
  <c r="CX26" i="9"/>
  <c r="CZ26" i="9" s="1"/>
  <c r="DA26" i="9" s="1"/>
  <c r="E45" i="8"/>
  <c r="F45" i="8" s="1"/>
  <c r="O28" i="8"/>
  <c r="O45" i="8"/>
  <c r="E51" i="8"/>
  <c r="F51" i="8" s="1"/>
  <c r="F49" i="8"/>
  <c r="E34" i="8"/>
  <c r="F34" i="8" s="1"/>
  <c r="M50" i="9"/>
  <c r="N50" i="9" s="1"/>
  <c r="E58" i="9"/>
  <c r="F58" i="9" s="1"/>
  <c r="C17" i="8"/>
  <c r="I11" i="11" s="1"/>
  <c r="AG11" i="8"/>
  <c r="AG12" i="8" s="1"/>
  <c r="DB31" i="9"/>
  <c r="DD31" i="9" s="1"/>
  <c r="DE31" i="9" s="1"/>
  <c r="AA50" i="9"/>
  <c r="AB50" i="9" s="1"/>
  <c r="DF31" i="9"/>
  <c r="DH31" i="9" s="1"/>
  <c r="DI31" i="9" s="1"/>
  <c r="S58" i="9"/>
  <c r="CL43" i="9"/>
  <c r="CR43" i="9"/>
  <c r="CT43" i="9" s="1"/>
  <c r="CK49" i="9"/>
  <c r="O51" i="8"/>
  <c r="O34" i="8"/>
  <c r="AL11" i="8"/>
  <c r="AL12" i="8" s="1"/>
  <c r="CE49" i="9"/>
  <c r="CF49" i="9" s="1"/>
  <c r="DV25" i="9"/>
  <c r="DX25" i="9" s="1"/>
  <c r="DY25" i="9" s="1"/>
  <c r="BW50" i="9"/>
  <c r="AH11" i="8"/>
  <c r="AH12" i="8" s="1"/>
  <c r="G34" i="8"/>
  <c r="G51" i="8"/>
  <c r="DN27" i="9" l="1"/>
  <c r="DP27" i="9" s="1"/>
  <c r="DQ27" i="9" s="1"/>
  <c r="BC58" i="9"/>
  <c r="BD58" i="9" s="1"/>
  <c r="DN32" i="9"/>
  <c r="DP32" i="9" s="1"/>
  <c r="DQ32" i="9" s="1"/>
  <c r="AO50" i="9"/>
  <c r="AP50" i="9" s="1"/>
  <c r="AG58" i="9"/>
  <c r="AH58" i="9" s="1"/>
  <c r="DJ31" i="9"/>
  <c r="DL31" i="9" s="1"/>
  <c r="DM31" i="9" s="1"/>
  <c r="DR32" i="9"/>
  <c r="DT32" i="9" s="1"/>
  <c r="DU32" i="9" s="1"/>
  <c r="BQ58" i="9"/>
  <c r="BR58" i="9" s="1"/>
  <c r="DR27" i="9"/>
  <c r="DT27" i="9" s="1"/>
  <c r="DU27" i="9" s="1"/>
  <c r="DB32" i="9"/>
  <c r="DD32" i="9" s="1"/>
  <c r="DE32" i="9" s="1"/>
  <c r="DB27" i="9"/>
  <c r="DD27" i="9" s="1"/>
  <c r="DE27" i="9" s="1"/>
  <c r="M58" i="9"/>
  <c r="N58" i="9" s="1"/>
  <c r="AF11" i="8"/>
  <c r="AF12" i="8" s="1"/>
  <c r="D17" i="8"/>
  <c r="AF13" i="8" s="1"/>
  <c r="CL49" i="9"/>
  <c r="CS49" i="9"/>
  <c r="CT49" i="9" s="1"/>
  <c r="CK50" i="9"/>
  <c r="CX25" i="9"/>
  <c r="CZ25" i="9" s="1"/>
  <c r="DA25" i="9" s="1"/>
  <c r="DF27" i="9"/>
  <c r="DH27" i="9" s="1"/>
  <c r="DI27" i="9" s="1"/>
  <c r="AA58" i="9"/>
  <c r="AB58" i="9" s="1"/>
  <c r="DF32" i="9"/>
  <c r="DH32" i="9" s="1"/>
  <c r="DI32" i="9" s="1"/>
  <c r="CE50" i="9"/>
  <c r="CF50" i="9" s="1"/>
  <c r="DV31" i="9"/>
  <c r="DX31" i="9" s="1"/>
  <c r="DY31" i="9" s="1"/>
  <c r="BW58" i="9"/>
  <c r="AO58" i="9" l="1"/>
  <c r="AP58" i="9" s="1"/>
  <c r="DJ32" i="9"/>
  <c r="DL32" i="9" s="1"/>
  <c r="DM32" i="9" s="1"/>
  <c r="DJ27" i="9"/>
  <c r="DL27" i="9" s="1"/>
  <c r="DM27" i="9" s="1"/>
  <c r="CE58" i="9"/>
  <c r="CF58" i="9" s="1"/>
  <c r="DV27" i="9"/>
  <c r="DX27" i="9" s="1"/>
  <c r="DY27" i="9" s="1"/>
  <c r="DV32" i="9"/>
  <c r="DX32" i="9" s="1"/>
  <c r="DY32" i="9" s="1"/>
  <c r="CL50" i="9"/>
  <c r="CS50" i="9"/>
  <c r="CT50" i="9" s="1"/>
  <c r="CX31" i="9"/>
  <c r="CZ31" i="9" s="1"/>
  <c r="DA31" i="9" s="1"/>
  <c r="CK58" i="9"/>
  <c r="CL58" i="9" l="1"/>
  <c r="CX27" i="9"/>
  <c r="CZ27" i="9" s="1"/>
  <c r="DA27" i="9" s="1"/>
  <c r="CX32" i="9"/>
  <c r="CZ32" i="9" s="1"/>
  <c r="DA32" i="9" s="1"/>
  <c r="CS58" i="9"/>
  <c r="CT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Jari Setälä</author>
  </authors>
  <commentList>
    <comment ref="L40" authorId="0" shapeId="0" xr:uid="{00000000-0006-0000-0000-000001000000}">
      <text>
        <r>
          <rPr>
            <sz val="10"/>
            <color indexed="81"/>
            <rFont val="Tahoma"/>
            <family val="2"/>
          </rPr>
          <t xml:space="preserve">Tästä löydät lisäohjeita. HUOM! Kommentti ei tule näkyviin, jos siirryt soluun nuolinäppäimellä.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Jari Setälä</author>
    <author>412jniukko</author>
  </authors>
  <commentList>
    <comment ref="AI29" authorId="0" shapeId="0" xr:uid="{00000000-0006-0000-0A00-000001000000}">
      <text>
        <r>
          <rPr>
            <sz val="10"/>
            <color indexed="81"/>
            <rFont val="Tahoma"/>
            <family val="2"/>
          </rPr>
          <t>Sidottu pyydysten määrään.</t>
        </r>
        <r>
          <rPr>
            <sz val="9"/>
            <color indexed="81"/>
            <rFont val="Tahoma"/>
            <family val="2"/>
          </rPr>
          <t xml:space="preserve">
</t>
        </r>
      </text>
    </comment>
    <comment ref="AW29" authorId="0" shapeId="0" xr:uid="{00000000-0006-0000-0A00-000002000000}">
      <text>
        <r>
          <rPr>
            <sz val="10"/>
            <color indexed="81"/>
            <rFont val="Tahoma"/>
            <family val="2"/>
          </rPr>
          <t>Sidottu pyydysten määrään.</t>
        </r>
        <r>
          <rPr>
            <sz val="9"/>
            <color indexed="81"/>
            <rFont val="Tahoma"/>
            <family val="2"/>
          </rPr>
          <t xml:space="preserve">
</t>
        </r>
      </text>
    </comment>
    <comment ref="BK29" authorId="0" shapeId="0" xr:uid="{00000000-0006-0000-0A00-000003000000}">
      <text>
        <r>
          <rPr>
            <sz val="10"/>
            <color indexed="81"/>
            <rFont val="Tahoma"/>
            <family val="2"/>
          </rPr>
          <t>Sidottu pyydysten määrään.</t>
        </r>
        <r>
          <rPr>
            <sz val="9"/>
            <color indexed="81"/>
            <rFont val="Tahoma"/>
            <family val="2"/>
          </rPr>
          <t xml:space="preserve">
</t>
        </r>
      </text>
    </comment>
    <comment ref="BY29" authorId="0" shapeId="0" xr:uid="{00000000-0006-0000-0A00-000004000000}">
      <text>
        <r>
          <rPr>
            <sz val="10"/>
            <color indexed="81"/>
            <rFont val="Tahoma"/>
            <family val="2"/>
          </rPr>
          <t>Sidottu pyydysten määrään.</t>
        </r>
        <r>
          <rPr>
            <sz val="9"/>
            <color indexed="81"/>
            <rFont val="Tahoma"/>
            <family val="2"/>
          </rPr>
          <t xml:space="preserve">
</t>
        </r>
      </text>
    </comment>
    <comment ref="G30" authorId="0" shapeId="0" xr:uid="{00000000-0006-0000-0A00-000005000000}">
      <text>
        <r>
          <rPr>
            <sz val="10"/>
            <color indexed="81"/>
            <rFont val="Tahoma"/>
            <family val="2"/>
          </rPr>
          <t>Muuttuu suhteessa kokonaissaaliin määrään,
oletus, että koentakerrat vähenevät, jos saalis vähenee.</t>
        </r>
      </text>
    </comment>
    <comment ref="U30" authorId="0" shapeId="0" xr:uid="{00000000-0006-0000-0A00-000006000000}">
      <text>
        <r>
          <rPr>
            <sz val="10"/>
            <color indexed="81"/>
            <rFont val="Tahoma"/>
            <family val="2"/>
          </rPr>
          <t>Muuttuu suhteessa kokonaissaaliin määrään,
oletus, että koentakerrat vähenevät, jos saalis vähenee.</t>
        </r>
      </text>
    </comment>
    <comment ref="AI30" authorId="0" shapeId="0" xr:uid="{00000000-0006-0000-0A00-000007000000}">
      <text>
        <r>
          <rPr>
            <sz val="10"/>
            <color indexed="81"/>
            <rFont val="Tahoma"/>
            <family val="2"/>
          </rPr>
          <t>Muuttuu suhteessa kokonaissaaliin määrään. Oletus, että koentakerrat vähenevät, jos saalis vähenee.</t>
        </r>
      </text>
    </comment>
    <comment ref="AW30" authorId="0" shapeId="0" xr:uid="{00000000-0006-0000-0A00-000008000000}">
      <text>
        <r>
          <rPr>
            <sz val="10"/>
            <color indexed="81"/>
            <rFont val="Tahoma"/>
            <family val="2"/>
          </rPr>
          <t>Muuttuu suhteessa kokonaissaaliin määrään. Oletus, että koentakerrat vähenevät, jos saalis vähenee.</t>
        </r>
      </text>
    </comment>
    <comment ref="BK30" authorId="0" shapeId="0" xr:uid="{00000000-0006-0000-0A00-000009000000}">
      <text>
        <r>
          <rPr>
            <sz val="10"/>
            <color indexed="81"/>
            <rFont val="Tahoma"/>
            <family val="2"/>
          </rPr>
          <t>Muuttuu suhteessa kokonaissaaliin määrään. Oletus, että koentakerrat vähenevät, jos saalis vähenee.</t>
        </r>
      </text>
    </comment>
    <comment ref="BY30" authorId="0" shapeId="0" xr:uid="{00000000-0006-0000-0A00-00000A000000}">
      <text>
        <r>
          <rPr>
            <sz val="10"/>
            <color indexed="81"/>
            <rFont val="Tahoma"/>
            <family val="2"/>
          </rPr>
          <t>Muuttuu suhteessa kokonaissaaliin määrään. Oletus, että koentakerrat vähenevät, jos saalis vähenee.</t>
        </r>
      </text>
    </comment>
    <comment ref="G31" authorId="0" shapeId="0" xr:uid="{00000000-0006-0000-0A00-00000B000000}">
      <text>
        <r>
          <rPr>
            <sz val="10"/>
            <color indexed="81"/>
            <rFont val="Tahoma"/>
            <family val="2"/>
          </rPr>
          <t>Muuttuu suhteessa kokonaissaaliin määrään.</t>
        </r>
      </text>
    </comment>
    <comment ref="U31" authorId="0" shapeId="0" xr:uid="{00000000-0006-0000-0A00-00000C000000}">
      <text>
        <r>
          <rPr>
            <sz val="10"/>
            <color indexed="81"/>
            <rFont val="Tahoma"/>
            <family val="2"/>
          </rPr>
          <t>Muuttuu suhteessa kokonaissaaliin määrään.</t>
        </r>
      </text>
    </comment>
    <comment ref="AI31" authorId="0" shapeId="0" xr:uid="{00000000-0006-0000-0A00-00000D000000}">
      <text>
        <r>
          <rPr>
            <sz val="10"/>
            <color indexed="81"/>
            <rFont val="Tahoma"/>
            <family val="2"/>
          </rPr>
          <t>Muuttuu suhteessa saaliin määrään.</t>
        </r>
      </text>
    </comment>
    <comment ref="AW31" authorId="0" shapeId="0" xr:uid="{00000000-0006-0000-0A00-00000E000000}">
      <text>
        <r>
          <rPr>
            <sz val="10"/>
            <color indexed="81"/>
            <rFont val="Tahoma"/>
            <family val="2"/>
          </rPr>
          <t>Muuttuu suhteessa saaliin määrään.</t>
        </r>
      </text>
    </comment>
    <comment ref="BK31" authorId="0" shapeId="0" xr:uid="{00000000-0006-0000-0A00-00000F000000}">
      <text>
        <r>
          <rPr>
            <sz val="10"/>
            <color indexed="81"/>
            <rFont val="Tahoma"/>
            <family val="2"/>
          </rPr>
          <t>Muuttuu suhteessa saaliin määrään.</t>
        </r>
      </text>
    </comment>
    <comment ref="BY31" authorId="0" shapeId="0" xr:uid="{00000000-0006-0000-0A00-000010000000}">
      <text>
        <r>
          <rPr>
            <sz val="10"/>
            <color indexed="81"/>
            <rFont val="Tahoma"/>
            <family val="2"/>
          </rPr>
          <t>Muuttuu suhteessa saaliin määrään.</t>
        </r>
      </text>
    </comment>
    <comment ref="AI34" authorId="0" shapeId="0" xr:uid="{00000000-0006-0000-0A00-000011000000}">
      <text>
        <r>
          <rPr>
            <sz val="10"/>
            <color indexed="81"/>
            <rFont val="Tahoma"/>
            <family val="2"/>
          </rPr>
          <t>Sidottu pyydysten määrään.</t>
        </r>
      </text>
    </comment>
    <comment ref="AW34" authorId="0" shapeId="0" xr:uid="{00000000-0006-0000-0A00-000012000000}">
      <text>
        <r>
          <rPr>
            <sz val="10"/>
            <color indexed="81"/>
            <rFont val="Tahoma"/>
            <family val="2"/>
          </rPr>
          <t>Sidottu pyydysten määrään.</t>
        </r>
      </text>
    </comment>
    <comment ref="BK34" authorId="0" shapeId="0" xr:uid="{00000000-0006-0000-0A00-000013000000}">
      <text>
        <r>
          <rPr>
            <sz val="10"/>
            <color indexed="81"/>
            <rFont val="Tahoma"/>
            <family val="2"/>
          </rPr>
          <t>Sidottu pyydysten määrään.</t>
        </r>
      </text>
    </comment>
    <comment ref="BY34" authorId="0" shapeId="0" xr:uid="{00000000-0006-0000-0A00-000014000000}">
      <text>
        <r>
          <rPr>
            <sz val="10"/>
            <color indexed="81"/>
            <rFont val="Tahoma"/>
            <family val="2"/>
          </rPr>
          <t>Sidottu pyydysten määrään.</t>
        </r>
      </text>
    </comment>
    <comment ref="AI36" authorId="0" shapeId="0" xr:uid="{00000000-0006-0000-0A00-000015000000}">
      <text>
        <r>
          <rPr>
            <sz val="10"/>
            <color indexed="81"/>
            <rFont val="Tahoma"/>
            <family val="2"/>
          </rPr>
          <t>Sidottu pyydysten määrään.</t>
        </r>
      </text>
    </comment>
    <comment ref="AW36" authorId="0" shapeId="0" xr:uid="{00000000-0006-0000-0A00-000016000000}">
      <text>
        <r>
          <rPr>
            <sz val="10"/>
            <color indexed="81"/>
            <rFont val="Tahoma"/>
            <family val="2"/>
          </rPr>
          <t>Sidottu pyydysten määrään.</t>
        </r>
      </text>
    </comment>
    <comment ref="BK36" authorId="0" shapeId="0" xr:uid="{00000000-0006-0000-0A00-000017000000}">
      <text>
        <r>
          <rPr>
            <sz val="10"/>
            <color indexed="81"/>
            <rFont val="Tahoma"/>
            <family val="2"/>
          </rPr>
          <t>Sidottu pyydysten määrään.</t>
        </r>
      </text>
    </comment>
    <comment ref="BY36" authorId="0" shapeId="0" xr:uid="{00000000-0006-0000-0A00-000018000000}">
      <text>
        <r>
          <rPr>
            <sz val="10"/>
            <color indexed="81"/>
            <rFont val="Tahoma"/>
            <family val="2"/>
          </rPr>
          <t>Sidottu pyydysten määrään.</t>
        </r>
      </text>
    </comment>
    <comment ref="G37" authorId="0" shapeId="0" xr:uid="{00000000-0006-0000-0A00-000019000000}">
      <text>
        <r>
          <rPr>
            <sz val="10"/>
            <color indexed="81"/>
            <rFont val="Tahoma"/>
            <family val="2"/>
          </rPr>
          <t>Muuttuu suhteessa kokonaissaaliin määrään,
oletus, että koentakerrat vähenevät, jos saalis vähenee.</t>
        </r>
      </text>
    </comment>
    <comment ref="U37" authorId="0" shapeId="0" xr:uid="{00000000-0006-0000-0A00-00001A000000}">
      <text>
        <r>
          <rPr>
            <sz val="10"/>
            <color indexed="81"/>
            <rFont val="Tahoma"/>
            <family val="2"/>
          </rPr>
          <t>Muuttuu suhteessa kokonaissaaliin määrään,
oletus, että koentakerrat vähenevät, jos saalis vähenee.</t>
        </r>
      </text>
    </comment>
    <comment ref="AI37" authorId="0" shapeId="0" xr:uid="{00000000-0006-0000-0A00-00001B000000}">
      <text>
        <r>
          <rPr>
            <sz val="10"/>
            <color indexed="81"/>
            <rFont val="Tahoma"/>
            <family val="2"/>
          </rPr>
          <t>Muuttuu suhteessa kokonaissaaliin määrään.
Oletus, että koentakerrat vähenevät, jos saalis vähenee.</t>
        </r>
      </text>
    </comment>
    <comment ref="AW37" authorId="0" shapeId="0" xr:uid="{00000000-0006-0000-0A00-00001C000000}">
      <text>
        <r>
          <rPr>
            <sz val="10"/>
            <color indexed="81"/>
            <rFont val="Tahoma"/>
            <family val="2"/>
          </rPr>
          <t>Muuttuu suhteessa kokonaissaaliin määrään.
Oletus, että koentakerrat vähenevät, jos saalis vähenee.</t>
        </r>
      </text>
    </comment>
    <comment ref="BK37" authorId="0" shapeId="0" xr:uid="{00000000-0006-0000-0A00-00001D000000}">
      <text>
        <r>
          <rPr>
            <sz val="10"/>
            <color indexed="81"/>
            <rFont val="Tahoma"/>
            <family val="2"/>
          </rPr>
          <t>Muuttuu suhteessa kokonaissaaliin määrään.
Oletus, että koentakerrat vähenevät, jos saalis vähenee.</t>
        </r>
      </text>
    </comment>
    <comment ref="BY37" authorId="0" shapeId="0" xr:uid="{00000000-0006-0000-0A00-00001E000000}">
      <text>
        <r>
          <rPr>
            <sz val="10"/>
            <color indexed="81"/>
            <rFont val="Tahoma"/>
            <family val="2"/>
          </rPr>
          <t>Muuttuu suhteessa kokonaissaaliin määrään.
Oletus, että koentakerrat vähenevät, jos saalis vähenee.</t>
        </r>
      </text>
    </comment>
    <comment ref="AI39" authorId="0" shapeId="0" xr:uid="{00000000-0006-0000-0A00-00001F000000}">
      <text>
        <r>
          <rPr>
            <sz val="10"/>
            <color indexed="81"/>
            <rFont val="Tahoma"/>
            <family val="2"/>
          </rPr>
          <t>Sidottu pyydysten määrään.</t>
        </r>
      </text>
    </comment>
    <comment ref="AW39" authorId="0" shapeId="0" xr:uid="{00000000-0006-0000-0A00-000020000000}">
      <text>
        <r>
          <rPr>
            <sz val="10"/>
            <color indexed="81"/>
            <rFont val="Tahoma"/>
            <family val="2"/>
          </rPr>
          <t>Sidottu pyydysten määrään.</t>
        </r>
      </text>
    </comment>
    <comment ref="BK39" authorId="0" shapeId="0" xr:uid="{00000000-0006-0000-0A00-000021000000}">
      <text>
        <r>
          <rPr>
            <sz val="10"/>
            <color indexed="81"/>
            <rFont val="Tahoma"/>
            <family val="2"/>
          </rPr>
          <t>Sidottu pyydysten määrään.</t>
        </r>
      </text>
    </comment>
    <comment ref="BY39" authorId="0" shapeId="0" xr:uid="{00000000-0006-0000-0A00-000022000000}">
      <text>
        <r>
          <rPr>
            <sz val="10"/>
            <color indexed="81"/>
            <rFont val="Tahoma"/>
            <family val="2"/>
          </rPr>
          <t>Sidottu pyydysten määrään.</t>
        </r>
      </text>
    </comment>
    <comment ref="H40" authorId="1" shapeId="0" xr:uid="{00000000-0006-0000-0A00-000023000000}">
      <text>
        <r>
          <rPr>
            <sz val="10"/>
            <color indexed="81"/>
            <rFont val="Tahoma"/>
            <family val="2"/>
          </rPr>
          <t>Muuttuu suhteessa saaliin määrään.</t>
        </r>
      </text>
    </comment>
    <comment ref="V40" authorId="1" shapeId="0" xr:uid="{00000000-0006-0000-0A00-000024000000}">
      <text>
        <r>
          <rPr>
            <sz val="10"/>
            <color indexed="81"/>
            <rFont val="Tahoma"/>
            <family val="2"/>
          </rPr>
          <t>Muuttuu suhteessa saaliin määrään.</t>
        </r>
      </text>
    </comment>
    <comment ref="AJ40" authorId="1" shapeId="0" xr:uid="{00000000-0006-0000-0A00-000025000000}">
      <text>
        <r>
          <rPr>
            <sz val="10"/>
            <color indexed="81"/>
            <rFont val="Tahoma"/>
            <family val="2"/>
          </rPr>
          <t>Muuttuu suhteessa saaliin määrään.</t>
        </r>
      </text>
    </comment>
    <comment ref="AX40" authorId="1" shapeId="0" xr:uid="{00000000-0006-0000-0A00-000026000000}">
      <text>
        <r>
          <rPr>
            <sz val="10"/>
            <color indexed="81"/>
            <rFont val="Tahoma"/>
            <family val="2"/>
          </rPr>
          <t>Muuttuu suhteessa saaliin määrään.</t>
        </r>
      </text>
    </comment>
    <comment ref="BL40" authorId="1" shapeId="0" xr:uid="{00000000-0006-0000-0A00-000027000000}">
      <text>
        <r>
          <rPr>
            <sz val="10"/>
            <color indexed="81"/>
            <rFont val="Tahoma"/>
            <family val="2"/>
          </rPr>
          <t>Muuttuu suhteessa saaliin määrään.</t>
        </r>
      </text>
    </comment>
    <comment ref="BZ40" authorId="1" shapeId="0" xr:uid="{00000000-0006-0000-0A00-000028000000}">
      <text>
        <r>
          <rPr>
            <sz val="10"/>
            <color indexed="81"/>
            <rFont val="Tahoma"/>
            <family val="2"/>
          </rPr>
          <t>Muuttuu suhteessa saaliin määrään.</t>
        </r>
      </text>
    </comment>
    <comment ref="B43" authorId="1" shapeId="0" xr:uid="{00000000-0006-0000-0A00-000029000000}">
      <text>
        <r>
          <rPr>
            <sz val="10"/>
            <color indexed="81"/>
            <rFont val="Tahoma"/>
            <family val="2"/>
          </rPr>
          <t>Sisältää pyydysten hankinnat (alle 3 v.), jotka poistetaan kuluina yhden vuoden aikana.</t>
        </r>
      </text>
    </comment>
    <comment ref="P43" authorId="1" shapeId="0" xr:uid="{00000000-0006-0000-0A00-00002A000000}">
      <text>
        <r>
          <rPr>
            <sz val="10"/>
            <color indexed="81"/>
            <rFont val="Tahoma"/>
            <family val="2"/>
          </rPr>
          <t>Sisältää pyydysten hankinnat (alle 3 v.), jotka poistetaan kuluina yhden vuoden aikana.</t>
        </r>
      </text>
    </comment>
    <comment ref="AD43" authorId="1" shapeId="0" xr:uid="{00000000-0006-0000-0A00-00002B000000}">
      <text>
        <r>
          <rPr>
            <sz val="10"/>
            <color indexed="81"/>
            <rFont val="Tahoma"/>
            <family val="2"/>
          </rPr>
          <t>Sisältää pyydysten hankinnat (alle 3 v.), jotka poistetaan kuluina yhden vuoden aikana.</t>
        </r>
      </text>
    </comment>
    <comment ref="AR43" authorId="1" shapeId="0" xr:uid="{00000000-0006-0000-0A00-00002C000000}">
      <text>
        <r>
          <rPr>
            <sz val="10"/>
            <color indexed="81"/>
            <rFont val="Tahoma"/>
            <family val="2"/>
          </rPr>
          <t>Sisältää pyydysten hankinnat (alle 3 v.), jotka poistetaan kuluina yhden vuoden aikana.</t>
        </r>
      </text>
    </comment>
    <comment ref="BF43" authorId="1" shapeId="0" xr:uid="{00000000-0006-0000-0A00-00002D000000}">
      <text>
        <r>
          <rPr>
            <sz val="10"/>
            <color indexed="81"/>
            <rFont val="Tahoma"/>
            <family val="2"/>
          </rPr>
          <t>Sisältää pyydysten hankinnat (alle 3 v.), jotka poistetaan kuluina yhden vuoden aikana.</t>
        </r>
      </text>
    </comment>
    <comment ref="BT43" authorId="1" shapeId="0" xr:uid="{00000000-0006-0000-0A00-00002E000000}">
      <text>
        <r>
          <rPr>
            <sz val="10"/>
            <color indexed="81"/>
            <rFont val="Tahoma"/>
            <family val="2"/>
          </rPr>
          <t>Sisältää pyydysten hankinnat (alle 3 v.), jotka poistetaan kuluina yhden vuoden aikana.</t>
        </r>
      </text>
    </comment>
    <comment ref="CH43" authorId="1" shapeId="0" xr:uid="{00000000-0006-0000-0A00-00002F000000}">
      <text>
        <r>
          <rPr>
            <sz val="10"/>
            <color indexed="81"/>
            <rFont val="Tahoma"/>
            <family val="2"/>
          </rPr>
          <t>Sisältää pyydysten hankinnat (alle 3 v.), jotka poistetaan kuluina yhden vuoden aikana.</t>
        </r>
      </text>
    </comment>
    <comment ref="B45" authorId="1" shapeId="0" xr:uid="{00000000-0006-0000-0A00-000030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P45" authorId="1" shapeId="0" xr:uid="{00000000-0006-0000-0A00-000031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AD45" authorId="1" shapeId="0" xr:uid="{00000000-0006-0000-0A00-000032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AR45" authorId="1" shapeId="0" xr:uid="{00000000-0006-0000-0A00-000033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BF45" authorId="1" shapeId="0" xr:uid="{00000000-0006-0000-0A00-000034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BT45" authorId="1" shapeId="0" xr:uid="{00000000-0006-0000-0A00-000035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CH45" authorId="1" shapeId="0" xr:uid="{00000000-0006-0000-0A00-000036000000}">
      <text>
        <r>
          <rPr>
            <sz val="10"/>
            <color indexed="81"/>
            <rFont val="Tahoma"/>
            <family val="2"/>
          </rPr>
          <t>Esim. hallinto ja markkinointi sekä muut palkat sivukuluineen (kalastustapahtumaan kuulumattomat) sekä eläkemaksut siltä osin kuin eivät ole huomioituna taulukossa "11. Työtunnit".</t>
        </r>
        <r>
          <rPr>
            <sz val="9"/>
            <color indexed="81"/>
            <rFont val="Tahoma"/>
            <family val="2"/>
          </rPr>
          <t xml:space="preserve">
</t>
        </r>
      </text>
    </comment>
    <comment ref="B46" authorId="0" shapeId="0" xr:uid="{00000000-0006-0000-0A00-000037000000}">
      <text>
        <r>
          <rPr>
            <sz val="10"/>
            <color indexed="81"/>
            <rFont val="Tahoma"/>
            <family val="2"/>
          </rPr>
          <t>Muovilaatikot ja kontit investointeja.</t>
        </r>
      </text>
    </comment>
    <comment ref="P46" authorId="0" shapeId="0" xr:uid="{00000000-0006-0000-0A00-000038000000}">
      <text>
        <r>
          <rPr>
            <sz val="10"/>
            <color indexed="81"/>
            <rFont val="Tahoma"/>
            <family val="2"/>
          </rPr>
          <t>Muovilaatikot ja kontit investointeja.</t>
        </r>
      </text>
    </comment>
    <comment ref="AD46" authorId="0" shapeId="0" xr:uid="{00000000-0006-0000-0A00-000039000000}">
      <text>
        <r>
          <rPr>
            <sz val="10"/>
            <color indexed="81"/>
            <rFont val="Tahoma"/>
            <family val="2"/>
          </rPr>
          <t>Muovilaatikot ja kontit investointeja.</t>
        </r>
      </text>
    </comment>
    <comment ref="AR46" authorId="0" shapeId="0" xr:uid="{00000000-0006-0000-0A00-00003A000000}">
      <text>
        <r>
          <rPr>
            <sz val="10"/>
            <color indexed="81"/>
            <rFont val="Tahoma"/>
            <family val="2"/>
          </rPr>
          <t>Muovilaatikot ja kontit investointeja.</t>
        </r>
      </text>
    </comment>
    <comment ref="BF46" authorId="0" shapeId="0" xr:uid="{00000000-0006-0000-0A00-00003B000000}">
      <text>
        <r>
          <rPr>
            <sz val="10"/>
            <color indexed="81"/>
            <rFont val="Tahoma"/>
            <family val="2"/>
          </rPr>
          <t>Muovilaatikot ja kontit investointeja.</t>
        </r>
      </text>
    </comment>
    <comment ref="BT46" authorId="0" shapeId="0" xr:uid="{00000000-0006-0000-0A00-00003C000000}">
      <text>
        <r>
          <rPr>
            <sz val="10"/>
            <color indexed="81"/>
            <rFont val="Tahoma"/>
            <family val="2"/>
          </rPr>
          <t>Muovilaatikot ja kontit investointeja.</t>
        </r>
      </text>
    </comment>
    <comment ref="CH46" authorId="0" shapeId="0" xr:uid="{00000000-0006-0000-0A00-00003D000000}">
      <text>
        <r>
          <rPr>
            <sz val="10"/>
            <color indexed="81"/>
            <rFont val="Tahoma"/>
            <family val="2"/>
          </rPr>
          <t>Muovilaatikot ja kontit investointeja.</t>
        </r>
      </text>
    </comment>
    <comment ref="B48" authorId="0" shapeId="0" xr:uid="{00000000-0006-0000-0A00-00003E000000}">
      <text>
        <r>
          <rPr>
            <sz val="10"/>
            <color indexed="81"/>
            <rFont val="Tahoma"/>
            <family val="2"/>
          </rPr>
          <t>Muovilaatikot ja kontit investointeja.</t>
        </r>
      </text>
    </comment>
    <comment ref="P48" authorId="0" shapeId="0" xr:uid="{00000000-0006-0000-0A00-00003F000000}">
      <text>
        <r>
          <rPr>
            <sz val="10"/>
            <color indexed="81"/>
            <rFont val="Tahoma"/>
            <family val="2"/>
          </rPr>
          <t>Muovilaatikot ja kontit investointeja.</t>
        </r>
      </text>
    </comment>
    <comment ref="AD48" authorId="0" shapeId="0" xr:uid="{00000000-0006-0000-0A00-000040000000}">
      <text>
        <r>
          <rPr>
            <sz val="10"/>
            <color indexed="81"/>
            <rFont val="Tahoma"/>
            <family val="2"/>
          </rPr>
          <t>Muovilaatikot ja kontit investointeja.</t>
        </r>
      </text>
    </comment>
    <comment ref="AR48" authorId="0" shapeId="0" xr:uid="{00000000-0006-0000-0A00-000041000000}">
      <text>
        <r>
          <rPr>
            <sz val="10"/>
            <color indexed="81"/>
            <rFont val="Tahoma"/>
            <family val="2"/>
          </rPr>
          <t>Muovilaatikot ja kontit investointeja.</t>
        </r>
      </text>
    </comment>
    <comment ref="BF48" authorId="0" shapeId="0" xr:uid="{00000000-0006-0000-0A00-000042000000}">
      <text>
        <r>
          <rPr>
            <sz val="10"/>
            <color indexed="81"/>
            <rFont val="Tahoma"/>
            <family val="2"/>
          </rPr>
          <t>Muovilaatikot ja kontit investointeja.</t>
        </r>
      </text>
    </comment>
    <comment ref="BT48" authorId="0" shapeId="0" xr:uid="{00000000-0006-0000-0A00-000043000000}">
      <text>
        <r>
          <rPr>
            <sz val="10"/>
            <color indexed="81"/>
            <rFont val="Tahoma"/>
            <family val="2"/>
          </rPr>
          <t>Muovilaatikot ja kontit investointeja.</t>
        </r>
      </text>
    </comment>
    <comment ref="CH48" authorId="0" shapeId="0" xr:uid="{00000000-0006-0000-0A00-000044000000}">
      <text>
        <r>
          <rPr>
            <sz val="10"/>
            <color indexed="81"/>
            <rFont val="Tahoma"/>
            <family val="2"/>
          </rPr>
          <t>Muovilaatikot ja kontit investointeja.</t>
        </r>
      </text>
    </comment>
    <comment ref="BG62" authorId="1" shapeId="0" xr:uid="{00000000-0006-0000-0A00-000045000000}">
      <text>
        <r>
          <rPr>
            <sz val="10"/>
            <color indexed="81"/>
            <rFont val="Tahoma"/>
            <family val="2"/>
          </rPr>
          <t xml:space="preserve">Keskiarvo: pyyntikausien pyydysten määrää painotettu pyyntikausien pituuksilla. </t>
        </r>
      </text>
    </comment>
    <comment ref="BU62" authorId="1" shapeId="0" xr:uid="{00000000-0006-0000-0A00-000046000000}">
      <text>
        <r>
          <rPr>
            <sz val="10"/>
            <color indexed="81"/>
            <rFont val="Tahoma"/>
            <family val="2"/>
          </rPr>
          <t xml:space="preserve">Keskiarvo: pyyntikausien pyydysten määrää painotettu pyyntikausien pituuksilla.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Jari Niukko</author>
    <author>Jari Setälä</author>
    <author>412jniukko</author>
  </authors>
  <commentList>
    <comment ref="B6" authorId="0" shapeId="0" xr:uid="{00000000-0006-0000-0B00-000001000000}">
      <text>
        <r>
          <rPr>
            <sz val="10"/>
            <color indexed="81"/>
            <rFont val="Tahoma"/>
            <family val="2"/>
          </rPr>
          <t>Merkitään, jos on kyse ammattimaisesta kalastuksesta ja oikeus kalastusalusten polttoaineverottomuuteen.
Jos oikeutta vähennyksiin ei ole, merkitään polttoaineverojen kohdalle 0.</t>
        </r>
        <r>
          <rPr>
            <sz val="11"/>
            <color indexed="81"/>
            <rFont val="Tahoma"/>
            <family val="2"/>
          </rPr>
          <t xml:space="preserve">
</t>
        </r>
      </text>
    </comment>
    <comment ref="L6" authorId="0" shapeId="0" xr:uid="{00000000-0006-0000-0B00-000002000000}">
      <text>
        <r>
          <rPr>
            <sz val="10"/>
            <color indexed="81"/>
            <rFont val="Tahoma"/>
            <family val="2"/>
          </rPr>
          <t>Olettaa käyttävän bensaa.</t>
        </r>
        <r>
          <rPr>
            <sz val="9"/>
            <color indexed="81"/>
            <rFont val="Tahoma"/>
            <family val="2"/>
          </rPr>
          <t xml:space="preserve">
</t>
        </r>
      </text>
    </comment>
    <comment ref="B12" authorId="1" shapeId="0" xr:uid="{00000000-0006-0000-0B00-000003000000}">
      <text>
        <r>
          <rPr>
            <sz val="10"/>
            <color indexed="81"/>
            <rFont val="Tahoma"/>
            <family val="2"/>
          </rPr>
          <t>Päivitys: http://www.finlex.fi/fi/laki/ajantasa/1994/19941472#a1472-1994</t>
        </r>
      </text>
    </comment>
    <comment ref="C16" authorId="0" shapeId="0" xr:uid="{00000000-0006-0000-0B00-000004000000}">
      <text>
        <r>
          <rPr>
            <sz val="10"/>
            <color indexed="81"/>
            <rFont val="Tahoma"/>
            <family val="2"/>
          </rPr>
          <t>Vaikka ei käytetä, laitetaan joku muu arvo kuin 0.</t>
        </r>
        <r>
          <rPr>
            <sz val="9"/>
            <color indexed="81"/>
            <rFont val="Tahoma"/>
            <family val="2"/>
          </rPr>
          <t xml:space="preserve">
</t>
        </r>
      </text>
    </comment>
    <comment ref="D16" authorId="0" shapeId="0" xr:uid="{00000000-0006-0000-0B00-000005000000}">
      <text>
        <r>
          <rPr>
            <sz val="10"/>
            <color indexed="81"/>
            <rFont val="Tahoma"/>
            <family val="2"/>
          </rPr>
          <t>Vaikka ei käytetä, laitetaan joku muu arvo kuin 0.</t>
        </r>
        <r>
          <rPr>
            <sz val="9"/>
            <color indexed="81"/>
            <rFont val="Tahoma"/>
            <family val="2"/>
          </rPr>
          <t xml:space="preserve">
</t>
        </r>
      </text>
    </comment>
    <comment ref="E16" authorId="0" shapeId="0" xr:uid="{00000000-0006-0000-0B00-000006000000}">
      <text>
        <r>
          <rPr>
            <sz val="10"/>
            <color indexed="81"/>
            <rFont val="Tahoma"/>
            <family val="2"/>
          </rPr>
          <t>Vaikka ei käytetä, laitetaan joku muu arvo kuin 0.</t>
        </r>
        <r>
          <rPr>
            <sz val="9"/>
            <color indexed="81"/>
            <rFont val="Tahoma"/>
            <family val="2"/>
          </rPr>
          <t xml:space="preserve">
</t>
        </r>
      </text>
    </comment>
    <comment ref="G17" authorId="2" shapeId="0" xr:uid="{00000000-0006-0000-0B00-000007000000}">
      <text>
        <r>
          <rPr>
            <sz val="10"/>
            <color indexed="81"/>
            <rFont val="Tahoma"/>
            <family val="2"/>
          </rPr>
          <t>Kalan myyntituotot X elintarvike alv %.</t>
        </r>
        <r>
          <rPr>
            <sz val="9"/>
            <color indexed="81"/>
            <rFont val="Tahoma"/>
            <family val="2"/>
          </rPr>
          <t xml:space="preserve">
</t>
        </r>
      </text>
    </comment>
    <comment ref="G18" authorId="2" shapeId="0" xr:uid="{00000000-0006-0000-0B00-000008000000}">
      <text>
        <r>
          <rPr>
            <sz val="10"/>
            <color indexed="81"/>
            <rFont val="Tahoma"/>
            <family val="2"/>
          </rPr>
          <t>Polttoaineista maksettu alv-osuus;
Jääkustannusten alv-osuus (jos hinta merkitty taulukossa 5);
Kiinteistä kustannuksista maksettu alv-osuus (kunnossapito ja korjaus (ei työkustannukset), vakuutukset, pakkaukset ja rahdit, vuokrat, muut kiinteät kustannukset, uusinvestointien arvo yhteensä). 
Kaikissa käytetty yleistä arvonlisäveroprosenttia.</t>
        </r>
        <r>
          <rPr>
            <sz val="9"/>
            <color indexed="81"/>
            <rFont val="Tahoma"/>
            <family val="2"/>
          </rPr>
          <t xml:space="preserve">
</t>
        </r>
      </text>
    </comment>
    <comment ref="E20" authorId="2" shapeId="0" xr:uid="{00000000-0006-0000-0B00-000009000000}">
      <text>
        <r>
          <rPr>
            <sz val="10"/>
            <color indexed="81"/>
            <rFont val="Tahoma"/>
            <family val="2"/>
          </rPr>
          <t>Tietyt palvelut, lehdet ja kirjat.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412jniukko</author>
    <author>Jari</author>
    <author>Jari Setälä</author>
  </authors>
  <commentList>
    <comment ref="B5" authorId="0" shapeId="0" xr:uid="{00000000-0006-0000-0C00-000001000000}">
      <text>
        <r>
          <rPr>
            <sz val="10"/>
            <color indexed="81"/>
            <rFont val="Tahoma"/>
            <family val="2"/>
          </rPr>
          <t xml:space="preserve">Yrittäjän ja kaikkien työntekijöiden keskipalkka. Käytetään ohjelman palkkakustannusten laskemisessa. </t>
        </r>
      </text>
    </comment>
    <comment ref="B10" authorId="0" shapeId="0" xr:uid="{00000000-0006-0000-0C00-000002000000}">
      <text>
        <r>
          <rPr>
            <sz val="10"/>
            <color indexed="81"/>
            <rFont val="Tahoma"/>
            <family val="2"/>
          </rPr>
          <t>Palkka sivukuluineen + nettotulos/yrittäjän työtuntien määrä.
(Yrittäjän osuus työtunneista merkitään ensin alimpana olevaan taulukkoon.)</t>
        </r>
      </text>
    </comment>
    <comment ref="N13" authorId="1" shapeId="0" xr:uid="{00000000-0006-0000-0C00-000003000000}">
      <text>
        <r>
          <rPr>
            <sz val="10"/>
            <color indexed="81"/>
            <rFont val="Tahoma"/>
            <family val="2"/>
          </rPr>
          <t>http://www.vero.fi/fi-FI/Yritys_ja_yhteisoasiakkaat/Avoin_yhtio_ja_kommandiittiyhtio/Yritys_tyonantajana/Tyonantajan_ja_tyontekijan_elake_ja_vaku%2825461%29</t>
        </r>
        <r>
          <rPr>
            <sz val="9"/>
            <color indexed="81"/>
            <rFont val="Tahoma"/>
            <family val="2"/>
          </rPr>
          <t xml:space="preserve">
</t>
        </r>
      </text>
    </comment>
    <comment ref="N14" authorId="1" shapeId="0" xr:uid="{00000000-0006-0000-0C00-000004000000}">
      <text>
        <r>
          <rPr>
            <sz val="10"/>
            <color indexed="81"/>
            <rFont val="Tahoma"/>
            <family val="2"/>
          </rPr>
          <t>https://www.vero.fi/fi-FI/Yritys_ja_yhteisoasiakkaat/Yhdistys_ja_saatio/Yhdistys_ja_saatio_tyonantajana/Tyonantajan_elake_ja_vakuutusmaksut%289603%29</t>
        </r>
        <r>
          <rPr>
            <sz val="9"/>
            <color indexed="81"/>
            <rFont val="Tahoma"/>
            <family val="2"/>
          </rPr>
          <t xml:space="preserve">
</t>
        </r>
      </text>
    </comment>
    <comment ref="N15" authorId="1" shapeId="0" xr:uid="{00000000-0006-0000-0C00-000005000000}">
      <text>
        <r>
          <rPr>
            <sz val="10"/>
            <color indexed="81"/>
            <rFont val="Tahoma"/>
            <family val="2"/>
          </rPr>
          <t>Sosiaaliturvamaksua ei makseta alle 16 vuotiaille eikä 68 täyttäneille maksetuista palkoista.</t>
        </r>
      </text>
    </comment>
    <comment ref="M16" authorId="1" shapeId="0" xr:uid="{00000000-0006-0000-0C00-000006000000}">
      <text>
        <r>
          <rPr>
            <sz val="10"/>
            <color indexed="81"/>
            <rFont val="Tahoma"/>
            <family val="2"/>
          </rPr>
          <t xml:space="preserve">Työeläkemaksut koskevat 18–67 -vuotiaita työntekijöitä. Työnantajan maksuun vaikuttavat mm. tilapäiset maksun alennukset sekä asiakashyvitys. </t>
        </r>
      </text>
    </comment>
    <comment ref="N18" authorId="2" shapeId="0" xr:uid="{00000000-0006-0000-0C00-000007000000}">
      <text>
        <r>
          <rPr>
            <sz val="10"/>
            <color indexed="81"/>
            <rFont val="Tahoma"/>
            <family val="2"/>
          </rPr>
          <t xml:space="preserve">Työttömyysvakuutusmaksu koskee 17–64 vuotiaita työntekijöitä. 1 990 500 euron palkkasummaan asti 0,8 %, yli 1 990 500 euron menevistä palkoista 3,2 %.  </t>
        </r>
      </text>
    </comment>
    <comment ref="P18" authorId="0" shapeId="0" xr:uid="{00000000-0006-0000-0C00-000008000000}">
      <text>
        <r>
          <rPr>
            <sz val="9"/>
            <color indexed="81"/>
            <rFont val="Tahoma"/>
            <family val="2"/>
          </rPr>
          <t xml:space="preserve">Osaomistajalla 0,2 % (15-50 % osakkeista) 
</t>
        </r>
      </text>
    </comment>
    <comment ref="N19" authorId="2" shapeId="0" xr:uid="{00000000-0006-0000-0C00-000009000000}">
      <text>
        <r>
          <rPr>
            <sz val="10"/>
            <color indexed="81"/>
            <rFont val="Tahoma"/>
            <family val="2"/>
          </rPr>
          <t>Vakuutusyhtiökohtainen: vaikuttaa työnantajan maksamat palkat ja alan tapaturmariski. Maksu vaihtelee siten toimiala- ja yrityskohtaisesti. Työnantajan tulee vakuuttaa työntekijänsä, jos teetettyjä työpäiviä kertyy vuodessa yhteensä yli 12. Vakuutus on oltava voimassa töiden alkaessa.</t>
        </r>
      </text>
    </comment>
    <comment ref="O19" authorId="0" shapeId="0" xr:uid="{00000000-0006-0000-0C00-00000A000000}">
      <text>
        <r>
          <rPr>
            <sz val="10"/>
            <color indexed="81"/>
            <rFont val="Tahoma"/>
            <family val="2"/>
          </rPr>
          <t xml:space="preserve">Tapaturmariskin mukaan n. 0,3-8 %. On kuitenkin yrityskohtainen ja vakuutusyhtiökohtainen.
</t>
        </r>
      </text>
    </comment>
    <comment ref="N21" authorId="2" shapeId="0" xr:uid="{00000000-0006-0000-0C00-00000B000000}">
      <text>
        <r>
          <rPr>
            <sz val="10"/>
            <color indexed="81"/>
            <rFont val="Tahoma"/>
            <family val="2"/>
          </rPr>
          <t>Ryhmähenkivakuutusmaksu peritään tapaturmavakuutusmaksun yhteydessä.
Maksu laskutetaan erillisellä laskulla samasta palkkasummasta kuin työttömyysvakuutusmaksu. Suuruus vaihtelee vakuutusyhtiöittäin.</t>
        </r>
      </text>
    </comment>
    <comment ref="O22" authorId="2" shapeId="0" xr:uid="{00000000-0006-0000-0C00-00000C000000}">
      <text>
        <r>
          <rPr>
            <sz val="10"/>
            <color indexed="81"/>
            <rFont val="Tahoma"/>
            <family val="2"/>
          </rPr>
          <t>Vaihtelee valtiolla työsuhteen pituuden mukaan: 4-6 %, lomarahan päälle tulee sivukulut, jolloin 5-7 %.</t>
        </r>
      </text>
    </comment>
    <comment ref="M24" authorId="1" shapeId="0" xr:uid="{00000000-0006-0000-0C00-00000D000000}">
      <text>
        <r>
          <rPr>
            <sz val="10"/>
            <color indexed="81"/>
            <rFont val="Tahoma"/>
            <family val="2"/>
          </rPr>
          <t>Lomakorvaus maksetaan työntekijälle silloin, kun työtä on ollut niin vähän, ettei työntekijä ansaitse lomaa. Lomakorvausta maksetaan myös silloin, kun työntekijän työsuhde päättyy niin, ettei lomaa ole pidetty. Lomakorvauksen määrä voi olla esimerkiksi noin 9 % palkasta.</t>
        </r>
        <r>
          <rPr>
            <sz val="9"/>
            <color indexed="81"/>
            <rFont val="Tahoma"/>
            <family val="2"/>
          </rPr>
          <t xml:space="preserve">
</t>
        </r>
      </text>
    </comment>
    <comment ref="P25" authorId="0" shapeId="0" xr:uid="{00000000-0006-0000-0C00-00000E000000}">
      <text>
        <r>
          <rPr>
            <sz val="10"/>
            <color indexed="81"/>
            <rFont val="Tahoma"/>
            <family val="2"/>
          </rPr>
          <t>Sairausajan palkka, isyysvapaan palkka, työvaatteet jne</t>
        </r>
        <r>
          <rPr>
            <sz val="9"/>
            <color indexed="81"/>
            <rFont val="Tahoma"/>
            <family val="2"/>
          </rPr>
          <t xml:space="preserve">. 
</t>
        </r>
      </text>
    </comment>
    <comment ref="M29" authorId="0" shapeId="0" xr:uid="{00000000-0006-0000-0C00-00000F000000}">
      <text>
        <r>
          <rPr>
            <sz val="10"/>
            <color indexed="81"/>
            <rFont val="Tahoma"/>
            <family val="2"/>
          </rPr>
          <t>MYEL on pakollinen, kun MYEL-työtulo on yli 3652 €. MYEL voi koskea ammattikalastajan lisäksi mahdollisesti myös perheenjäseniä. Tietyin edellytyksin osakeyhtiön osakas voidaan verottaa yrittäjänä. MyEL ei koske ulkopuolisia työntekijöitä.</t>
        </r>
      </text>
    </comment>
    <comment ref="M30" authorId="0" shapeId="0" xr:uid="{00000000-0006-0000-0C00-000010000000}">
      <text>
        <r>
          <rPr>
            <sz val="10"/>
            <color indexed="81"/>
            <rFont val="Tahoma"/>
            <family val="2"/>
          </rPr>
          <t>www.mela.fi</t>
        </r>
        <r>
          <rPr>
            <sz val="9"/>
            <color indexed="81"/>
            <rFont val="Tahoma"/>
            <family val="2"/>
          </rPr>
          <t xml:space="preserve">
</t>
        </r>
      </text>
    </comment>
    <comment ref="N30" authorId="0" shapeId="0" xr:uid="{00000000-0006-0000-0C00-000011000000}">
      <text>
        <r>
          <rPr>
            <sz val="10"/>
            <color indexed="81"/>
            <rFont val="Tahoma"/>
            <family val="2"/>
          </rPr>
          <t>http://www.vero.fi/fi-FI/Yritys_ja_yhteisoasiakkaat/Avoin_yhtio_ja_kommandiittiyhtio/Yritys_tyonantajana/Yrittajan_elaketurva(9606)</t>
        </r>
        <r>
          <rPr>
            <sz val="9"/>
            <color indexed="81"/>
            <rFont val="Tahoma"/>
            <family val="2"/>
          </rPr>
          <t xml:space="preserve">
</t>
        </r>
      </text>
    </comment>
    <comment ref="M34" authorId="0" shapeId="0" xr:uid="{00000000-0006-0000-0C00-000012000000}">
      <text>
        <r>
          <rPr>
            <sz val="10"/>
            <color indexed="81"/>
            <rFont val="Tahoma"/>
            <family val="2"/>
          </rPr>
          <t>Esimerkiksi MATA-bonus voi vaikuttaa MATA-maksun määrään. Vapaa-ajan vakuutus ei ole automaattisesti mukana.</t>
        </r>
      </text>
    </comment>
    <comment ref="O35" authorId="0" shapeId="0" xr:uid="{00000000-0006-0000-0C00-000013000000}">
      <text>
        <r>
          <rPr>
            <sz val="10"/>
            <color indexed="81"/>
            <rFont val="Tahoma"/>
            <family val="2"/>
          </rPr>
          <t>Peritään MyEL maksujen yhteydessä.</t>
        </r>
        <r>
          <rPr>
            <sz val="9"/>
            <color indexed="81"/>
            <rFont val="Tahoma"/>
            <family val="2"/>
          </rPr>
          <t xml:space="preserve">
</t>
        </r>
      </text>
    </comment>
    <comment ref="O36" authorId="0" shapeId="0" xr:uid="{00000000-0006-0000-0C00-000014000000}">
      <text>
        <r>
          <rPr>
            <sz val="10"/>
            <color indexed="81"/>
            <rFont val="Tahoma"/>
            <family val="2"/>
          </rPr>
          <t xml:space="preserve">Koostuu sairaanhoitomaksusta (1,3 %) ja päivärahamaksusta (0,74 %). Arvioidun työtulon perusteella määräytyy päivärahamaksun ja sairaanhoitomaksun määrä.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412jniukko</author>
  </authors>
  <commentList>
    <comment ref="D2" authorId="0" shapeId="0" xr:uid="{00000000-0006-0000-0D00-000001000000}">
      <text>
        <r>
          <rPr>
            <sz val="10"/>
            <color indexed="81"/>
            <rFont val="Tahoma"/>
            <family val="2"/>
          </rPr>
          <t>Hinnat ovat arvonlisäverottomia.</t>
        </r>
        <r>
          <rPr>
            <sz val="9"/>
            <color indexed="81"/>
            <rFont val="Tahoma"/>
            <family val="2"/>
          </rPr>
          <t xml:space="preserve">
</t>
        </r>
      </text>
    </comment>
    <comment ref="Q4" authorId="0" shapeId="0" xr:uid="{00000000-0006-0000-0D00-000002000000}">
      <text>
        <r>
          <rPr>
            <sz val="10"/>
            <color indexed="81"/>
            <rFont val="Tahoma"/>
            <family val="2"/>
          </rPr>
          <t>peratun kalan hinta</t>
        </r>
        <r>
          <rPr>
            <sz val="9"/>
            <color indexed="81"/>
            <rFont val="Tahoma"/>
            <family val="2"/>
          </rPr>
          <t xml:space="preserve">
</t>
        </r>
      </text>
    </comment>
    <comment ref="Q13" authorId="0" shapeId="0" xr:uid="{00000000-0006-0000-0D00-000003000000}">
      <text>
        <r>
          <rPr>
            <sz val="10"/>
            <color indexed="81"/>
            <rFont val="Tahoma"/>
            <family val="2"/>
          </rPr>
          <t>peratun kalan hinta</t>
        </r>
        <r>
          <rPr>
            <sz val="9"/>
            <color indexed="81"/>
            <rFont val="Tahoma"/>
            <family val="2"/>
          </rPr>
          <t xml:space="preserve">
</t>
        </r>
      </text>
    </comment>
    <comment ref="Q22" authorId="0" shapeId="0" xr:uid="{00000000-0006-0000-0D00-000004000000}">
      <text>
        <r>
          <rPr>
            <sz val="10"/>
            <color indexed="81"/>
            <rFont val="Tahoma"/>
            <family val="2"/>
          </rPr>
          <t>peratun kalan hinta</t>
        </r>
        <r>
          <rPr>
            <sz val="9"/>
            <color indexed="81"/>
            <rFont val="Tahoma"/>
            <family val="2"/>
          </rPr>
          <t xml:space="preserve">
</t>
        </r>
      </text>
    </comment>
    <comment ref="Q54" authorId="0" shapeId="0" xr:uid="{00000000-0006-0000-0D00-000005000000}">
      <text>
        <r>
          <rPr>
            <sz val="10"/>
            <color indexed="81"/>
            <rFont val="Tahoma"/>
            <family val="2"/>
          </rPr>
          <t>Sisältää myös perkaamatonta siikaa.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Jari Setälä</author>
    <author>412jniukko</author>
  </authors>
  <commentList>
    <comment ref="B7" authorId="0" shapeId="0" xr:uid="{00000000-0006-0000-0100-000001000000}">
      <text>
        <r>
          <rPr>
            <sz val="10"/>
            <color indexed="81"/>
            <rFont val="Tahoma"/>
            <family val="2"/>
          </rPr>
          <t>Täytettävät tiedot koskevat yhtä kalenterivuotta.</t>
        </r>
      </text>
    </comment>
    <comment ref="D9" authorId="0" shapeId="0" xr:uid="{00000000-0006-0000-0100-000002000000}">
      <text>
        <r>
          <rPr>
            <sz val="10"/>
            <color indexed="81"/>
            <rFont val="Tahoma"/>
            <family val="2"/>
          </rPr>
          <t>Merkitse arvonlisäverottomat hinnat.</t>
        </r>
      </text>
    </comment>
    <comment ref="B26" authorId="0" shapeId="0" xr:uid="{00000000-0006-0000-0100-000003000000}">
      <text>
        <r>
          <rPr>
            <sz val="10"/>
            <color indexed="81"/>
            <rFont val="Tahoma"/>
            <family val="2"/>
          </rPr>
          <t>Merkitse arvonlisäverottomat kulut. Arvonlisäverovapaa kalastaja (tulo alle 8500 €/v) täyttää kuitenkin arvonlisäverolliset kulut, koska hän ei saa tehdä arvonlisäverovähennyksiä.</t>
        </r>
      </text>
    </comment>
    <comment ref="C27" authorId="0" shapeId="0" xr:uid="{00000000-0006-0000-0100-000004000000}">
      <text>
        <r>
          <rPr>
            <sz val="10"/>
            <color indexed="81"/>
            <rFont val="Tahoma"/>
            <family val="2"/>
          </rPr>
          <t>Yrittäjän ja kalastukseen osallistuvien työajat yhteensä.</t>
        </r>
      </text>
    </comment>
    <comment ref="D27" authorId="0" shapeId="0" xr:uid="{00000000-0006-0000-0100-000005000000}">
      <text>
        <r>
          <rPr>
            <sz val="10"/>
            <color indexed="81"/>
            <rFont val="Tahoma"/>
            <family val="2"/>
          </rPr>
          <t>Yrittäjän ja työntekijöiden keskipalkka sivukuluineen.</t>
        </r>
      </text>
    </comment>
    <comment ref="B28" authorId="0" shapeId="0" xr:uid="{00000000-0006-0000-0100-000006000000}">
      <text>
        <r>
          <rPr>
            <sz val="10"/>
            <color indexed="81"/>
            <rFont val="Tahoma"/>
            <family val="2"/>
          </rPr>
          <t>Kalastukseen kuluva työaika vesillä tai jäällä sisältäen pyydysten virtyksen ja poiston.</t>
        </r>
        <r>
          <rPr>
            <sz val="9"/>
            <color indexed="81"/>
            <rFont val="Tahoma"/>
            <family val="2"/>
          </rPr>
          <t xml:space="preserve">
</t>
        </r>
      </text>
    </comment>
    <comment ref="B29" authorId="0" shapeId="0" xr:uid="{00000000-0006-0000-0100-000007000000}">
      <text>
        <r>
          <rPr>
            <sz val="10"/>
            <color indexed="81"/>
            <rFont val="Tahoma"/>
            <family val="2"/>
          </rPr>
          <t>Rannassa tehtävä perkaus, lajittelu, pakkaus tms.</t>
        </r>
        <r>
          <rPr>
            <sz val="9"/>
            <color indexed="81"/>
            <rFont val="Tahoma"/>
            <family val="2"/>
          </rPr>
          <t xml:space="preserve">
</t>
        </r>
      </text>
    </comment>
    <comment ref="B30" authorId="0" shapeId="0" xr:uid="{00000000-0006-0000-0100-000008000000}">
      <text>
        <r>
          <rPr>
            <sz val="10"/>
            <color indexed="81"/>
            <rFont val="Tahoma"/>
            <family val="2"/>
          </rPr>
          <t>Matkat kalasatamaan ja tukkuun.</t>
        </r>
        <r>
          <rPr>
            <sz val="9"/>
            <color indexed="81"/>
            <rFont val="Tahoma"/>
            <family val="2"/>
          </rPr>
          <t xml:space="preserve">
</t>
        </r>
      </text>
    </comment>
    <comment ref="B31" authorId="0" shapeId="0" xr:uid="{00000000-0006-0000-0100-000009000000}">
      <text>
        <r>
          <rPr>
            <sz val="10"/>
            <color indexed="81"/>
            <rFont val="Tahoma"/>
            <family val="2"/>
          </rPr>
          <t>Ammattikalastajarekisterissä oleva kalastaja saa vähentää kalastusalusten polttoaineveron, jos saa yli 30 % tuloistaan kalastuksesta, merkitse tässä tapauksessa polttoaineveroton kulu, muutoin verollinen hinta. (Polttoaineverot voi tarkistaa taulukosta "10. Verot")</t>
        </r>
      </text>
    </comment>
    <comment ref="B32" authorId="0" shapeId="0" xr:uid="{00000000-0006-0000-0100-00000A000000}">
      <text>
        <r>
          <rPr>
            <sz val="10"/>
            <color indexed="81"/>
            <rFont val="Tahoma"/>
            <family val="2"/>
          </rPr>
          <t>Kalastuksessa kuluva veneen, moottorikelkan tai mönkijän polttoainekulu.</t>
        </r>
      </text>
    </comment>
    <comment ref="B33" authorId="0" shapeId="0" xr:uid="{00000000-0006-0000-0100-00000B000000}">
      <text>
        <r>
          <rPr>
            <sz val="10"/>
            <color indexed="81"/>
            <rFont val="Tahoma"/>
            <family val="2"/>
          </rPr>
          <t>Auton polttoainekulut.</t>
        </r>
      </text>
    </comment>
    <comment ref="B34" authorId="0" shapeId="0" xr:uid="{00000000-0006-0000-0100-00000C000000}">
      <text>
        <r>
          <rPr>
            <sz val="10"/>
            <color indexed="81"/>
            <rFont val="Tahoma"/>
            <family val="2"/>
          </rPr>
          <t>Esimerkiksi jäityskulut.</t>
        </r>
      </text>
    </comment>
    <comment ref="D36" authorId="0" shapeId="0" xr:uid="{00000000-0006-0000-0100-00000D000000}">
      <text>
        <r>
          <rPr>
            <sz val="10"/>
            <color indexed="81"/>
            <rFont val="Tahoma"/>
            <family val="2"/>
          </rPr>
          <t>Kunnossapitoon ja korjauksiin liittyvät hankinnat. Sisältää myös pyydykset, jotka merkitään kokonaan saman vuoden kuluiksi (käyttöikä alle 3 v.), muut pyydyshankinnat merkitään poistoina.</t>
        </r>
      </text>
    </comment>
    <comment ref="B44" authorId="1" shapeId="0" xr:uid="{00000000-0006-0000-0100-00000E000000}">
      <text>
        <r>
          <rPr>
            <sz val="10"/>
            <color indexed="81"/>
            <rFont val="Tahoma"/>
            <family val="2"/>
          </rPr>
          <t>Poisto on investoinnista aiheutuva vuosikustannus, joka lasketaan investoinnin poistoajan (yleensä käyttöiän) mukaan.</t>
        </r>
      </text>
    </comment>
    <comment ref="B64" authorId="0" shapeId="0" xr:uid="{00000000-0006-0000-0100-00000F000000}">
      <text>
        <r>
          <rPr>
            <sz val="9"/>
            <color indexed="81"/>
            <rFont val="Tahoma"/>
            <family val="2"/>
          </rPr>
          <t>Bruttotuntiansio, €/h =
(Nettotulos + palkkakulut)/Työtuntien lukumäärä vuodessa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412jsetala</author>
    <author>412jniukko</author>
    <author>Jari Setälä</author>
    <author>Jari Niukko</author>
  </authors>
  <commentList>
    <comment ref="D4" authorId="0" shapeId="0" xr:uid="{00000000-0006-0000-0200-000001000000}">
      <text>
        <r>
          <rPr>
            <sz val="10"/>
            <color indexed="81"/>
            <rFont val="Tahoma"/>
            <family val="2"/>
          </rPr>
          <t>Merkitse pyydyksen nimi. Kopioituu eteenpäin kuvien otsakkeiksi.</t>
        </r>
      </text>
    </comment>
    <comment ref="E4" authorId="1" shapeId="0" xr:uid="{00000000-0006-0000-0200-000002000000}">
      <text>
        <r>
          <rPr>
            <sz val="10"/>
            <color indexed="81"/>
            <rFont val="Tahoma"/>
            <family val="2"/>
          </rPr>
          <t>Merkitse pyyntikausi.</t>
        </r>
      </text>
    </comment>
    <comment ref="L4" authorId="1" shapeId="0" xr:uid="{00000000-0006-0000-0200-000003000000}">
      <text>
        <r>
          <rPr>
            <sz val="10"/>
            <color indexed="81"/>
            <rFont val="Tahoma"/>
            <family val="2"/>
          </rPr>
          <t>Merkitse pyyntikausi.</t>
        </r>
      </text>
    </comment>
    <comment ref="S4" authorId="1" shapeId="0" xr:uid="{00000000-0006-0000-0200-000004000000}">
      <text>
        <r>
          <rPr>
            <sz val="10"/>
            <color indexed="81"/>
            <rFont val="Tahoma"/>
            <family val="2"/>
          </rPr>
          <t>Merkitse pyyntikausi.</t>
        </r>
      </text>
    </comment>
    <comment ref="Z4" authorId="1" shapeId="0" xr:uid="{00000000-0006-0000-0200-000005000000}">
      <text>
        <r>
          <rPr>
            <sz val="10"/>
            <color indexed="81"/>
            <rFont val="Tahoma"/>
            <family val="2"/>
          </rPr>
          <t>Merkitse pyyntikausi.</t>
        </r>
      </text>
    </comment>
    <comment ref="F6" authorId="1" shapeId="0" xr:uid="{00000000-0006-0000-0200-000006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G6" authorId="0" shapeId="0" xr:uid="{00000000-0006-0000-0200-000007000000}">
      <text>
        <r>
          <rPr>
            <sz val="10"/>
            <color indexed="81"/>
            <rFont val="Tahoma"/>
            <family val="2"/>
          </rPr>
          <t>Keskimäärin pyyntikaudella.</t>
        </r>
        <r>
          <rPr>
            <sz val="9"/>
            <color indexed="81"/>
            <rFont val="Tahoma"/>
            <family val="2"/>
          </rPr>
          <t xml:space="preserve">
</t>
        </r>
      </text>
    </comment>
    <comment ref="M6" authorId="1" shapeId="0" xr:uid="{00000000-0006-0000-0200-000008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N6" authorId="0" shapeId="0" xr:uid="{00000000-0006-0000-0200-000009000000}">
      <text>
        <r>
          <rPr>
            <sz val="10"/>
            <color indexed="81"/>
            <rFont val="Tahoma"/>
            <family val="2"/>
          </rPr>
          <t>Keskimäärin pyyntikaudella.</t>
        </r>
        <r>
          <rPr>
            <sz val="9"/>
            <color indexed="81"/>
            <rFont val="Tahoma"/>
            <family val="2"/>
          </rPr>
          <t xml:space="preserve">
</t>
        </r>
      </text>
    </comment>
    <comment ref="T6" authorId="1" shapeId="0" xr:uid="{00000000-0006-0000-0200-00000A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U6" authorId="0" shapeId="0" xr:uid="{00000000-0006-0000-0200-00000B000000}">
      <text>
        <r>
          <rPr>
            <sz val="10"/>
            <color indexed="81"/>
            <rFont val="Tahoma"/>
            <family val="2"/>
          </rPr>
          <t>Keskimäärin pyyntikaudella.</t>
        </r>
        <r>
          <rPr>
            <sz val="9"/>
            <color indexed="81"/>
            <rFont val="Tahoma"/>
            <family val="2"/>
          </rPr>
          <t xml:space="preserve">
</t>
        </r>
      </text>
    </comment>
    <comment ref="AA6" authorId="1" shapeId="0" xr:uid="{00000000-0006-0000-0200-00000C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AB6" authorId="0" shapeId="0" xr:uid="{00000000-0006-0000-0200-00000D000000}">
      <text>
        <r>
          <rPr>
            <sz val="10"/>
            <color indexed="81"/>
            <rFont val="Tahoma"/>
            <family val="2"/>
          </rPr>
          <t>Keskimäärin pyyntikaudella.</t>
        </r>
        <r>
          <rPr>
            <sz val="9"/>
            <color indexed="81"/>
            <rFont val="Tahoma"/>
            <family val="2"/>
          </rPr>
          <t xml:space="preserve">
</t>
        </r>
      </text>
    </comment>
    <comment ref="E9" authorId="2" shapeId="0" xr:uid="{00000000-0006-0000-0200-00000E000000}">
      <text>
        <r>
          <rPr>
            <sz val="10"/>
            <color indexed="81"/>
            <rFont val="Tahoma"/>
            <family val="2"/>
          </rPr>
          <t>Merkitse  pv.kk   
esim. ensimmäinen tammikuuta on 1.1
Tarkasta ylhäällä olevasta kirjoitusosasta, että lopetuspäivämäärään tulee 
sama vuosi.</t>
        </r>
      </text>
    </comment>
    <comment ref="L9" authorId="2" shapeId="0" xr:uid="{00000000-0006-0000-0200-00000F000000}">
      <text>
        <r>
          <rPr>
            <sz val="10"/>
            <color indexed="81"/>
            <rFont val="Tahoma"/>
            <family val="2"/>
          </rPr>
          <t>Merkitse  pv.kk   
esim. ensimmäinen tammikuuta on 1.1
Tarkasta ylhäällä olevasta kirjoitusosasta, että lopetuspäivämäärään tulee 
sama vuosi.</t>
        </r>
      </text>
    </comment>
    <comment ref="S9" authorId="2" shapeId="0" xr:uid="{00000000-0006-0000-0200-000010000000}">
      <text>
        <r>
          <rPr>
            <sz val="10"/>
            <color indexed="81"/>
            <rFont val="Tahoma"/>
            <family val="2"/>
          </rPr>
          <t>Merkitse  pv.kk   
esim. ensimmäinen tammikuuta on 1.1
Tarkasta ylhäällä olevasta kirjoitusosasta, että lopetuspäivämäärään tulee 
sama vuosi.</t>
        </r>
      </text>
    </comment>
    <comment ref="Z9" authorId="2" shapeId="0" xr:uid="{00000000-0006-0000-0200-000011000000}">
      <text>
        <r>
          <rPr>
            <sz val="10"/>
            <color indexed="81"/>
            <rFont val="Tahoma"/>
            <family val="2"/>
          </rPr>
          <t>Merkitse  pv.kk   
esim. ensimmäinen tammikuuta on 1.1
Tarkasta ylhäällä olevasta kirjoitusosasta, että lopetuspäivämäärään tulee 
sama vuosi.</t>
        </r>
      </text>
    </comment>
    <comment ref="E10" authorId="2" shapeId="0" xr:uid="{00000000-0006-0000-0200-000012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10" authorId="2" shapeId="0" xr:uid="{00000000-0006-0000-0200-000013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S10" authorId="2" shapeId="0" xr:uid="{00000000-0006-0000-0200-000014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Z10" authorId="2" shapeId="0" xr:uid="{00000000-0006-0000-0200-000015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E13" authorId="0" shapeId="0" xr:uid="{00000000-0006-0000-0200-000016000000}">
      <text>
        <r>
          <rPr>
            <sz val="10"/>
            <color indexed="81"/>
            <rFont val="Tahoma"/>
            <family val="2"/>
          </rPr>
          <t>Keskimäärin pyyntikaudella.</t>
        </r>
        <r>
          <rPr>
            <sz val="9"/>
            <color indexed="81"/>
            <rFont val="Tahoma"/>
            <family val="2"/>
          </rPr>
          <t xml:space="preserve">
</t>
        </r>
      </text>
    </comment>
    <comment ref="L13" authorId="0" shapeId="0" xr:uid="{00000000-0006-0000-0200-000017000000}">
      <text>
        <r>
          <rPr>
            <sz val="10"/>
            <color indexed="81"/>
            <rFont val="Tahoma"/>
            <family val="2"/>
          </rPr>
          <t>Keskimäärin pyyntikaudella.</t>
        </r>
        <r>
          <rPr>
            <sz val="9"/>
            <color indexed="81"/>
            <rFont val="Tahoma"/>
            <family val="2"/>
          </rPr>
          <t xml:space="preserve">
</t>
        </r>
      </text>
    </comment>
    <comment ref="S13" authorId="0" shapeId="0" xr:uid="{00000000-0006-0000-0200-000018000000}">
      <text>
        <r>
          <rPr>
            <sz val="10"/>
            <color indexed="81"/>
            <rFont val="Tahoma"/>
            <family val="2"/>
          </rPr>
          <t>Keskimäärin pyyntikaudella.</t>
        </r>
        <r>
          <rPr>
            <sz val="9"/>
            <color indexed="81"/>
            <rFont val="Tahoma"/>
            <family val="2"/>
          </rPr>
          <t xml:space="preserve">
</t>
        </r>
      </text>
    </comment>
    <comment ref="Z13" authorId="0" shapeId="0" xr:uid="{00000000-0006-0000-0200-000019000000}">
      <text>
        <r>
          <rPr>
            <sz val="10"/>
            <color indexed="81"/>
            <rFont val="Tahoma"/>
            <family val="2"/>
          </rPr>
          <t>Keskimäärin pyyntikaudella.</t>
        </r>
        <r>
          <rPr>
            <sz val="9"/>
            <color indexed="81"/>
            <rFont val="Tahoma"/>
            <family val="2"/>
          </rPr>
          <t xml:space="preserve">
</t>
        </r>
      </text>
    </comment>
    <comment ref="D18" authorId="2" shapeId="0" xr:uid="{00000000-0006-0000-0200-00001A000000}">
      <text>
        <r>
          <rPr>
            <sz val="10"/>
            <color indexed="81"/>
            <rFont val="Tahoma"/>
            <family val="2"/>
          </rPr>
          <t>Matka kalasatamaan tai rantaan, mistä lähdetään kalaan.</t>
        </r>
      </text>
    </comment>
    <comment ref="E18" authorId="0" shapeId="0" xr:uid="{00000000-0006-0000-0200-00001B000000}">
      <text>
        <r>
          <rPr>
            <sz val="10"/>
            <color indexed="81"/>
            <rFont val="Tahoma"/>
            <family val="2"/>
          </rPr>
          <t>Laita 0, jos matkoja ei ole.</t>
        </r>
        <r>
          <rPr>
            <sz val="9"/>
            <color indexed="81"/>
            <rFont val="Tahoma"/>
            <family val="2"/>
          </rPr>
          <t xml:space="preserve">
</t>
        </r>
      </text>
    </comment>
    <comment ref="K18" authorId="2" shapeId="0" xr:uid="{00000000-0006-0000-0200-00001C000000}">
      <text>
        <r>
          <rPr>
            <sz val="10"/>
            <color indexed="81"/>
            <rFont val="Tahoma"/>
            <family val="2"/>
          </rPr>
          <t>Matka kalasatamaan tai rantaan, mistä lähdetään kalaan.</t>
        </r>
      </text>
    </comment>
    <comment ref="L18" authorId="0" shapeId="0" xr:uid="{00000000-0006-0000-0200-00001D000000}">
      <text>
        <r>
          <rPr>
            <sz val="10"/>
            <color indexed="81"/>
            <rFont val="Tahoma"/>
            <family val="2"/>
          </rPr>
          <t>Laita 0, jos matkoja ei ole.</t>
        </r>
        <r>
          <rPr>
            <sz val="9"/>
            <color indexed="81"/>
            <rFont val="Tahoma"/>
            <family val="2"/>
          </rPr>
          <t xml:space="preserve">
</t>
        </r>
      </text>
    </comment>
    <comment ref="R18" authorId="2" shapeId="0" xr:uid="{00000000-0006-0000-0200-00001E000000}">
      <text>
        <r>
          <rPr>
            <sz val="10"/>
            <color indexed="81"/>
            <rFont val="Tahoma"/>
            <family val="2"/>
          </rPr>
          <t>Matka kalasatamaan tai rantaan, mistä lähdetään kalaan.</t>
        </r>
      </text>
    </comment>
    <comment ref="S18" authorId="0" shapeId="0" xr:uid="{00000000-0006-0000-0200-00001F000000}">
      <text>
        <r>
          <rPr>
            <sz val="10"/>
            <color indexed="81"/>
            <rFont val="Tahoma"/>
            <family val="2"/>
          </rPr>
          <t>Laita 0, jos matkoja ei ole.</t>
        </r>
        <r>
          <rPr>
            <sz val="9"/>
            <color indexed="81"/>
            <rFont val="Tahoma"/>
            <family val="2"/>
          </rPr>
          <t xml:space="preserve">
</t>
        </r>
      </text>
    </comment>
    <comment ref="Y18" authorId="2" shapeId="0" xr:uid="{00000000-0006-0000-0200-000020000000}">
      <text>
        <r>
          <rPr>
            <sz val="10"/>
            <color indexed="81"/>
            <rFont val="Tahoma"/>
            <family val="2"/>
          </rPr>
          <t>Matka kalasatamaan tai rantaan, mistä lähdetään kalaan.</t>
        </r>
      </text>
    </comment>
    <comment ref="Z18" authorId="0" shapeId="0" xr:uid="{00000000-0006-0000-0200-000021000000}">
      <text>
        <r>
          <rPr>
            <sz val="10"/>
            <color indexed="81"/>
            <rFont val="Tahoma"/>
            <family val="2"/>
          </rPr>
          <t>Laita 0, jos matkoja ei ole.</t>
        </r>
        <r>
          <rPr>
            <sz val="9"/>
            <color indexed="81"/>
            <rFont val="Tahoma"/>
            <family val="2"/>
          </rPr>
          <t xml:space="preserve">
</t>
        </r>
      </text>
    </comment>
    <comment ref="G20" authorId="0" shapeId="0" xr:uid="{00000000-0006-0000-0200-000022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N20" authorId="0" shapeId="0" xr:uid="{00000000-0006-0000-0200-000023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U20" authorId="0" shapeId="0" xr:uid="{00000000-0006-0000-0200-000024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AB20" authorId="0" shapeId="0" xr:uid="{00000000-0006-0000-0200-000025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D21" authorId="2" shapeId="0" xr:uid="{00000000-0006-0000-0200-000026000000}">
      <text>
        <r>
          <rPr>
            <sz val="10"/>
            <color indexed="81"/>
            <rFont val="Tahoma"/>
            <family val="2"/>
          </rPr>
          <t>Edestakaisen matkan pituus. Esim. yrityksen maksama työntekijän matka
rantaan lähemmäs pyyntipaikkaa. Tukkumatkat täytetään erikseen.</t>
        </r>
      </text>
    </comment>
    <comment ref="K21" authorId="2" shapeId="0" xr:uid="{00000000-0006-0000-0200-000027000000}">
      <text>
        <r>
          <rPr>
            <sz val="10"/>
            <color indexed="81"/>
            <rFont val="Tahoma"/>
            <family val="2"/>
          </rPr>
          <t>Edestakaisen matkan pituus. Esim. yrityksen maksama työntekijän matka
rantaan lähemmäs pyyntipaikkaa. Tukkumatkat täytetään erikseen.</t>
        </r>
      </text>
    </comment>
    <comment ref="R21" authorId="2" shapeId="0" xr:uid="{00000000-0006-0000-0200-000028000000}">
      <text>
        <r>
          <rPr>
            <sz val="10"/>
            <color indexed="81"/>
            <rFont val="Tahoma"/>
            <family val="2"/>
          </rPr>
          <t>Edestakaisen matkan pituus. Esim. yrityksen maksama työntekijän matka
rantaan lähemmäs pyyntipaikkaa. Tukkumatkat täytetään erikseen.</t>
        </r>
      </text>
    </comment>
    <comment ref="Y21" authorId="2" shapeId="0" xr:uid="{00000000-0006-0000-0200-000029000000}">
      <text>
        <r>
          <rPr>
            <sz val="10"/>
            <color indexed="81"/>
            <rFont val="Tahoma"/>
            <family val="2"/>
          </rPr>
          <t>Edestakaisen matkan pituus. Esim. yrityksen maksama työntekijän matka
rantaan lähemmäs pyyntipaikkaa. Tukkumatkat täytetään erikseen.</t>
        </r>
      </text>
    </comment>
    <comment ref="E25" authorId="3" shapeId="0" xr:uid="{00000000-0006-0000-0200-00002A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G25" authorId="1" shapeId="0" xr:uid="{00000000-0006-0000-0200-00002B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L25" authorId="3" shapeId="0" xr:uid="{00000000-0006-0000-0200-00002C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N25" authorId="1" shapeId="0" xr:uid="{00000000-0006-0000-0200-00002D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S25" authorId="3" shapeId="0" xr:uid="{00000000-0006-0000-0200-00002E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U25" authorId="1" shapeId="0" xr:uid="{00000000-0006-0000-0200-00002F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Z25" authorId="3" shapeId="0" xr:uid="{00000000-0006-0000-0200-000030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AB25" authorId="1" shapeId="0" xr:uid="{00000000-0006-0000-0200-000031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D29" authorId="0" shapeId="0" xr:uid="{00000000-0006-0000-0200-000032000000}">
      <text>
        <r>
          <rPr>
            <sz val="10"/>
            <color indexed="81"/>
            <rFont val="Tahoma"/>
            <family val="2"/>
          </rPr>
          <t>Työkustannukset lasketaan taulukkoon "11. Työtunnit" merkityn tuntipalkan mukaan.</t>
        </r>
      </text>
    </comment>
    <comment ref="K29" authorId="0" shapeId="0" xr:uid="{00000000-0006-0000-0200-000033000000}">
      <text>
        <r>
          <rPr>
            <sz val="10"/>
            <color indexed="81"/>
            <rFont val="Tahoma"/>
            <family val="2"/>
          </rPr>
          <t>Työkustannukset lasketaan taulukkoon "11. Työtunnit" merkityn tuntipalkan mukaan.</t>
        </r>
      </text>
    </comment>
    <comment ref="R29" authorId="0" shapeId="0" xr:uid="{00000000-0006-0000-0200-000034000000}">
      <text>
        <r>
          <rPr>
            <sz val="10"/>
            <color indexed="81"/>
            <rFont val="Tahoma"/>
            <family val="2"/>
          </rPr>
          <t>Työkustannukset lasketaan taulukkoon "11. Työtunnit" merkityn tuntipalkan mukaan.</t>
        </r>
      </text>
    </comment>
    <comment ref="Y29" authorId="0" shapeId="0" xr:uid="{00000000-0006-0000-0200-000035000000}">
      <text>
        <r>
          <rPr>
            <sz val="10"/>
            <color indexed="81"/>
            <rFont val="Tahoma"/>
            <family val="2"/>
          </rPr>
          <t>Työkustannukset lasketaan taulukkoon "11. Työtunnit" merkityn tuntipalkan mukaan.</t>
        </r>
      </text>
    </comment>
    <comment ref="E31" authorId="0" shapeId="0" xr:uid="{00000000-0006-0000-0200-000036000000}">
      <text>
        <r>
          <rPr>
            <sz val="10"/>
            <color indexed="81"/>
            <rFont val="Tahoma"/>
            <family val="2"/>
          </rPr>
          <t xml:space="preserve">Laita 0, jos matkoja ei ole.
</t>
        </r>
      </text>
    </comment>
    <comment ref="L31" authorId="0" shapeId="0" xr:uid="{00000000-0006-0000-0200-000037000000}">
      <text>
        <r>
          <rPr>
            <sz val="10"/>
            <color indexed="81"/>
            <rFont val="Tahoma"/>
            <family val="2"/>
          </rPr>
          <t xml:space="preserve">Laita 0, jos matkoja ei ole.
</t>
        </r>
      </text>
    </comment>
    <comment ref="S31" authorId="0" shapeId="0" xr:uid="{00000000-0006-0000-0200-000038000000}">
      <text>
        <r>
          <rPr>
            <sz val="10"/>
            <color indexed="81"/>
            <rFont val="Tahoma"/>
            <family val="2"/>
          </rPr>
          <t xml:space="preserve">Laita 0, jos matkoja ei ole.
</t>
        </r>
      </text>
    </comment>
    <comment ref="Z31" authorId="0" shapeId="0" xr:uid="{00000000-0006-0000-0200-000039000000}">
      <text>
        <r>
          <rPr>
            <sz val="10"/>
            <color indexed="81"/>
            <rFont val="Tahoma"/>
            <family val="2"/>
          </rPr>
          <t xml:space="preserve">Laita 0, jos matkoja ei ole.
</t>
        </r>
      </text>
    </comment>
    <comment ref="E32" authorId="2" shapeId="0" xr:uid="{00000000-0006-0000-0200-00003A000000}">
      <text>
        <r>
          <rPr>
            <sz val="10"/>
            <color indexed="81"/>
            <rFont val="Tahoma"/>
            <family val="2"/>
          </rPr>
          <t>Koko kalastusmatkaan kulunut aika sisältäen matkojen lisäksi pyydyksen koennan.</t>
        </r>
      </text>
    </comment>
    <comment ref="G32" authorId="2" shapeId="0" xr:uid="{00000000-0006-0000-0200-00003B000000}">
      <text>
        <r>
          <rPr>
            <sz val="10"/>
            <color indexed="81"/>
            <rFont val="Tahoma"/>
            <family val="2"/>
          </rPr>
          <t>Jos apuhenkilö mukana puolet matkoista, merkitse tähän kertoimeksi 1,5.</t>
        </r>
        <r>
          <rPr>
            <sz val="8"/>
            <color indexed="81"/>
            <rFont val="Tahoma"/>
            <family val="2"/>
          </rPr>
          <t xml:space="preserve">
</t>
        </r>
      </text>
    </comment>
    <comment ref="L32" authorId="2" shapeId="0" xr:uid="{00000000-0006-0000-0200-00003C000000}">
      <text>
        <r>
          <rPr>
            <sz val="10"/>
            <color indexed="81"/>
            <rFont val="Tahoma"/>
            <family val="2"/>
          </rPr>
          <t>Koko kalastusmatkaan kulunut aika sisältäen matkojen lisäksi pyydyksen koennan.</t>
        </r>
      </text>
    </comment>
    <comment ref="N32" authorId="2" shapeId="0" xr:uid="{00000000-0006-0000-0200-00003D000000}">
      <text>
        <r>
          <rPr>
            <sz val="10"/>
            <color indexed="81"/>
            <rFont val="Tahoma"/>
            <family val="2"/>
          </rPr>
          <t>Jos apuhenkilö mukana puolet matkoista, merkitse tähän kertoimeksi 1,5.</t>
        </r>
        <r>
          <rPr>
            <sz val="8"/>
            <color indexed="81"/>
            <rFont val="Tahoma"/>
            <family val="2"/>
          </rPr>
          <t xml:space="preserve">
</t>
        </r>
      </text>
    </comment>
    <comment ref="S32" authorId="2" shapeId="0" xr:uid="{00000000-0006-0000-0200-00003E000000}">
      <text>
        <r>
          <rPr>
            <sz val="10"/>
            <color indexed="81"/>
            <rFont val="Tahoma"/>
            <family val="2"/>
          </rPr>
          <t>Koko kalastusmatkaan kulunut aika sisältäen matkojen lisäksi pyydyksen koennan.</t>
        </r>
      </text>
    </comment>
    <comment ref="U32" authorId="2" shapeId="0" xr:uid="{00000000-0006-0000-0200-00003F000000}">
      <text>
        <r>
          <rPr>
            <sz val="10"/>
            <color indexed="81"/>
            <rFont val="Tahoma"/>
            <family val="2"/>
          </rPr>
          <t>Jos apuhenkilö mukana puolet matkoista, merkitse tähän kertoimeksi 1,5.</t>
        </r>
        <r>
          <rPr>
            <sz val="8"/>
            <color indexed="81"/>
            <rFont val="Tahoma"/>
            <family val="2"/>
          </rPr>
          <t xml:space="preserve">
</t>
        </r>
      </text>
    </comment>
    <comment ref="Z32" authorId="2" shapeId="0" xr:uid="{00000000-0006-0000-0200-000040000000}">
      <text>
        <r>
          <rPr>
            <sz val="10"/>
            <color indexed="81"/>
            <rFont val="Tahoma"/>
            <family val="2"/>
          </rPr>
          <t>Koko kalastusmatkaan kulunut aika sisältäen matkojen lisäksi pyydyksen koennan.</t>
        </r>
      </text>
    </comment>
    <comment ref="AB32" authorId="2" shapeId="0" xr:uid="{00000000-0006-0000-0200-000041000000}">
      <text>
        <r>
          <rPr>
            <sz val="10"/>
            <color indexed="81"/>
            <rFont val="Tahoma"/>
            <family val="2"/>
          </rPr>
          <t>Jos apuhenkilö mukana puolet matkoista, merkitse tähän kertoimeksi 1,5.</t>
        </r>
        <r>
          <rPr>
            <sz val="8"/>
            <color indexed="81"/>
            <rFont val="Tahoma"/>
            <family val="2"/>
          </rPr>
          <t xml:space="preserve">
</t>
        </r>
      </text>
    </comment>
    <comment ref="E34" authorId="0" shapeId="0" xr:uid="{00000000-0006-0000-0200-000042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34" authorId="1" shapeId="0" xr:uid="{00000000-0006-0000-0200-000043000000}">
      <text>
        <r>
          <rPr>
            <sz val="10"/>
            <color indexed="81"/>
            <rFont val="Tahoma"/>
            <family val="2"/>
          </rPr>
          <t>Merkitse:
1 = bensiini
2 = polttoöljy</t>
        </r>
        <r>
          <rPr>
            <sz val="9"/>
            <color indexed="81"/>
            <rFont val="Tahoma"/>
            <family val="2"/>
          </rPr>
          <t xml:space="preserve">
</t>
        </r>
      </text>
    </comment>
    <comment ref="L34" authorId="0" shapeId="0" xr:uid="{00000000-0006-0000-0200-000044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N34" authorId="1" shapeId="0" xr:uid="{00000000-0006-0000-0200-000045000000}">
      <text>
        <r>
          <rPr>
            <sz val="10"/>
            <color indexed="81"/>
            <rFont val="Tahoma"/>
            <family val="2"/>
          </rPr>
          <t>Merkitse:
1 = bensiini
2 = polttoöljy</t>
        </r>
        <r>
          <rPr>
            <sz val="9"/>
            <color indexed="81"/>
            <rFont val="Tahoma"/>
            <family val="2"/>
          </rPr>
          <t xml:space="preserve">
</t>
        </r>
      </text>
    </comment>
    <comment ref="S34" authorId="0" shapeId="0" xr:uid="{00000000-0006-0000-0200-000046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U34" authorId="1" shapeId="0" xr:uid="{00000000-0006-0000-0200-000047000000}">
      <text>
        <r>
          <rPr>
            <sz val="10"/>
            <color indexed="81"/>
            <rFont val="Tahoma"/>
            <family val="2"/>
          </rPr>
          <t>Merkitse:
1 = bensiini
2 = polttoöljy</t>
        </r>
        <r>
          <rPr>
            <sz val="9"/>
            <color indexed="81"/>
            <rFont val="Tahoma"/>
            <family val="2"/>
          </rPr>
          <t xml:space="preserve">
</t>
        </r>
      </text>
    </comment>
    <comment ref="Z34" authorId="0" shapeId="0" xr:uid="{00000000-0006-0000-0200-000048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AB34" authorId="1" shapeId="0" xr:uid="{00000000-0006-0000-0200-000049000000}">
      <text>
        <r>
          <rPr>
            <sz val="10"/>
            <color indexed="81"/>
            <rFont val="Tahoma"/>
            <family val="2"/>
          </rPr>
          <t>Merkitse:
1 = bensiini
2 = polttoöljy</t>
        </r>
        <r>
          <rPr>
            <sz val="9"/>
            <color indexed="81"/>
            <rFont val="Tahoma"/>
            <family val="2"/>
          </rPr>
          <t xml:space="preserve">
</t>
        </r>
      </text>
    </comment>
    <comment ref="E39" authorId="0" shapeId="0" xr:uid="{00000000-0006-0000-0200-00004A000000}">
      <text>
        <r>
          <rPr>
            <sz val="10"/>
            <color indexed="81"/>
            <rFont val="Tahoma"/>
            <family val="2"/>
          </rPr>
          <t xml:space="preserve">Laita 0, jos matkoja ei ole.
</t>
        </r>
      </text>
    </comment>
    <comment ref="L39" authorId="0" shapeId="0" xr:uid="{00000000-0006-0000-0200-00004B000000}">
      <text>
        <r>
          <rPr>
            <sz val="10"/>
            <color indexed="81"/>
            <rFont val="Tahoma"/>
            <family val="2"/>
          </rPr>
          <t xml:space="preserve">Laita 0, jos matkoja ei ole.
</t>
        </r>
      </text>
    </comment>
    <comment ref="S39" authorId="0" shapeId="0" xr:uid="{00000000-0006-0000-0200-00004C000000}">
      <text>
        <r>
          <rPr>
            <sz val="10"/>
            <color indexed="81"/>
            <rFont val="Tahoma"/>
            <family val="2"/>
          </rPr>
          <t xml:space="preserve">Laita 0, jos matkoja ei ole.
</t>
        </r>
      </text>
    </comment>
    <comment ref="Z39" authorId="0" shapeId="0" xr:uid="{00000000-0006-0000-0200-00004D000000}">
      <text>
        <r>
          <rPr>
            <sz val="10"/>
            <color indexed="81"/>
            <rFont val="Tahoma"/>
            <family val="2"/>
          </rPr>
          <t xml:space="preserve">Laita 0, jos matkoja ei ole.
</t>
        </r>
      </text>
    </comment>
    <comment ref="E40" authorId="2" shapeId="0" xr:uid="{00000000-0006-0000-0200-00004E000000}">
      <text>
        <r>
          <rPr>
            <sz val="10"/>
            <color indexed="81"/>
            <rFont val="Tahoma"/>
            <family val="2"/>
          </rPr>
          <t>Koko kalastusmatkaan kulunut aika sisältäen matkojen lisäksi pyydyksen koennan.</t>
        </r>
      </text>
    </comment>
    <comment ref="L40" authorId="2" shapeId="0" xr:uid="{00000000-0006-0000-0200-00004F000000}">
      <text>
        <r>
          <rPr>
            <sz val="10"/>
            <color indexed="81"/>
            <rFont val="Tahoma"/>
            <family val="2"/>
          </rPr>
          <t>Koko kalastusmatkaan kulunut aika sisältäen matkojen lisäksi pyydyksen koennan.</t>
        </r>
      </text>
    </comment>
    <comment ref="S40" authorId="2" shapeId="0" xr:uid="{00000000-0006-0000-0200-000050000000}">
      <text>
        <r>
          <rPr>
            <sz val="10"/>
            <color indexed="81"/>
            <rFont val="Tahoma"/>
            <family val="2"/>
          </rPr>
          <t>Koko kalastusmatkaan kulunut aika sisältäen matkojen lisäksi pyydyksen koennan.</t>
        </r>
      </text>
    </comment>
    <comment ref="Z40" authorId="2" shapeId="0" xr:uid="{00000000-0006-0000-0200-000051000000}">
      <text>
        <r>
          <rPr>
            <sz val="10"/>
            <color indexed="81"/>
            <rFont val="Tahoma"/>
            <family val="2"/>
          </rPr>
          <t>Koko kalastusmatkaan kulunut aika sisältäen matkojen lisäksi pyydyksen koennan.</t>
        </r>
      </text>
    </comment>
    <comment ref="E42" authorId="3" shapeId="0" xr:uid="{00000000-0006-0000-0200-000052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L42" authorId="3" shapeId="0" xr:uid="{00000000-0006-0000-0200-000053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S42" authorId="3" shapeId="0" xr:uid="{00000000-0006-0000-0200-000054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Z42" authorId="3" shapeId="0" xr:uid="{00000000-0006-0000-0200-000055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E48" authorId="2" shapeId="0" xr:uid="{00000000-0006-0000-0200-000056000000}">
      <text>
        <r>
          <rPr>
            <sz val="10"/>
            <color indexed="81"/>
            <rFont val="Tahoma"/>
            <family val="2"/>
          </rPr>
          <t>Merkitse saaliin siirtoihin ja pakkaamiseen menevä aika. Perkaus, fileointi ja mädin talteenotto -työajat lasketaan taulukossa "5. Kalan alkukäsittely satamassa".</t>
        </r>
      </text>
    </comment>
    <comment ref="L48" authorId="2" shapeId="0" xr:uid="{00000000-0006-0000-0200-000057000000}">
      <text>
        <r>
          <rPr>
            <sz val="10"/>
            <color indexed="81"/>
            <rFont val="Tahoma"/>
            <family val="2"/>
          </rPr>
          <t>Merkitse saaliin siirtoihin ja pakkaamiseen menevä aika. Perkaus, fileointi ja mädin talteenotto -työajat lasketaan taulukossa "5. Kalan alkukäsittely satamassa".</t>
        </r>
      </text>
    </comment>
    <comment ref="S48" authorId="2" shapeId="0" xr:uid="{00000000-0006-0000-0200-000058000000}">
      <text>
        <r>
          <rPr>
            <sz val="10"/>
            <color indexed="81"/>
            <rFont val="Tahoma"/>
            <family val="2"/>
          </rPr>
          <t>Merkitse saaliin siirtoihin ja pakkaamiseen menevä aika. Perkaus, fileointi ja mädin talteenotto -työajat lasketaan taulukossa "5. Kalan alkukäsittely satamassa".</t>
        </r>
      </text>
    </comment>
    <comment ref="Z48" authorId="2" shapeId="0" xr:uid="{00000000-0006-0000-0200-000059000000}">
      <text>
        <r>
          <rPr>
            <sz val="10"/>
            <color indexed="81"/>
            <rFont val="Tahoma"/>
            <family val="2"/>
          </rPr>
          <t>Merkitse saaliin siirtoihin ja pakkaamiseen menevä aika. Perkaus, fileointi ja mädin talteenotto -työajat lasketaan taulukossa "5. Kalan alkukäsittely satamassa".</t>
        </r>
      </text>
    </comment>
    <comment ref="D51" authorId="2" shapeId="0" xr:uid="{00000000-0006-0000-0200-00005A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K51" authorId="2" shapeId="0" xr:uid="{00000000-0006-0000-0200-00005B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R51" authorId="2" shapeId="0" xr:uid="{00000000-0006-0000-0200-00005C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Y51" authorId="2" shapeId="0" xr:uid="{00000000-0006-0000-0200-00005D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E54" authorId="1" shapeId="0" xr:uid="{00000000-0006-0000-0200-00005E000000}">
      <text>
        <r>
          <rPr>
            <sz val="10"/>
            <color indexed="81"/>
            <rFont val="Tahoma"/>
            <family val="2"/>
          </rPr>
          <t>Merkitään saaliin kuljetuksen kotimatkaan aiheuttamat lisäkilometrit.</t>
        </r>
      </text>
    </comment>
    <comment ref="S54" authorId="1" shapeId="0" xr:uid="{00000000-0006-0000-0200-00005F000000}">
      <text>
        <r>
          <rPr>
            <sz val="10"/>
            <color indexed="81"/>
            <rFont val="Tahoma"/>
            <family val="2"/>
          </rPr>
          <t>Merkitään saaliin kuljetuksen kotimatkaan aiheuttamat lisäkilometrit.</t>
        </r>
      </text>
    </comment>
    <comment ref="Z54" authorId="1" shapeId="0" xr:uid="{00000000-0006-0000-0200-000060000000}">
      <text>
        <r>
          <rPr>
            <sz val="10"/>
            <color indexed="81"/>
            <rFont val="Tahoma"/>
            <family val="2"/>
          </rPr>
          <t>Merkitään saaliin kuljetuksen kotimatkaan aiheuttamat lisäkilometrit.</t>
        </r>
      </text>
    </comment>
    <comment ref="E55" authorId="1" shapeId="0" xr:uid="{00000000-0006-0000-0200-000061000000}">
      <text>
        <r>
          <rPr>
            <sz val="10"/>
            <color indexed="81"/>
            <rFont val="Tahoma"/>
            <family val="2"/>
          </rPr>
          <t>Merkitään saaliin kuljetuksen kotimatkaan aiheuttama lisämatka-aika.</t>
        </r>
      </text>
    </comment>
    <comment ref="S55" authorId="1" shapeId="0" xr:uid="{00000000-0006-0000-0200-000062000000}">
      <text>
        <r>
          <rPr>
            <sz val="10"/>
            <color indexed="81"/>
            <rFont val="Tahoma"/>
            <family val="2"/>
          </rPr>
          <t>Merkitään saaliin kuljetuksen kotimatkaan aiheuttama lisämatka-aika.</t>
        </r>
      </text>
    </comment>
    <comment ref="Z55" authorId="1" shapeId="0" xr:uid="{00000000-0006-0000-0200-000063000000}">
      <text>
        <r>
          <rPr>
            <sz val="10"/>
            <color indexed="81"/>
            <rFont val="Tahoma"/>
            <family val="2"/>
          </rPr>
          <t>Merkitään saaliin kuljetuksen kotimatkaan aiheuttama lisämatka-aika.</t>
        </r>
      </text>
    </comment>
    <comment ref="E56" authorId="0" shapeId="0" xr:uid="{00000000-0006-0000-0200-000064000000}">
      <text>
        <r>
          <rPr>
            <sz val="10"/>
            <color indexed="81"/>
            <rFont val="Tahoma"/>
            <family val="2"/>
          </rPr>
          <t>Laita 0, jos matkoja ei ole.</t>
        </r>
        <r>
          <rPr>
            <sz val="9"/>
            <color indexed="81"/>
            <rFont val="Tahoma"/>
            <family val="2"/>
          </rPr>
          <t xml:space="preserve">
</t>
        </r>
      </text>
    </comment>
    <comment ref="L56" authorId="0" shapeId="0" xr:uid="{00000000-0006-0000-0200-000065000000}">
      <text>
        <r>
          <rPr>
            <sz val="10"/>
            <color indexed="81"/>
            <rFont val="Tahoma"/>
            <family val="2"/>
          </rPr>
          <t>Laita 0, jos matkoja ei ole.</t>
        </r>
        <r>
          <rPr>
            <sz val="9"/>
            <color indexed="81"/>
            <rFont val="Tahoma"/>
            <family val="2"/>
          </rPr>
          <t xml:space="preserve">
</t>
        </r>
      </text>
    </comment>
    <comment ref="S56" authorId="0" shapeId="0" xr:uid="{00000000-0006-0000-0200-000066000000}">
      <text>
        <r>
          <rPr>
            <sz val="10"/>
            <color indexed="81"/>
            <rFont val="Tahoma"/>
            <family val="2"/>
          </rPr>
          <t>Laita 0, jos matkoja ei ole.</t>
        </r>
        <r>
          <rPr>
            <sz val="9"/>
            <color indexed="81"/>
            <rFont val="Tahoma"/>
            <family val="2"/>
          </rPr>
          <t xml:space="preserve">
</t>
        </r>
      </text>
    </comment>
    <comment ref="Z56" authorId="0" shapeId="0" xr:uid="{00000000-0006-0000-0200-000067000000}">
      <text>
        <r>
          <rPr>
            <sz val="10"/>
            <color indexed="81"/>
            <rFont val="Tahoma"/>
            <family val="2"/>
          </rPr>
          <t>Laita 0, jos matkoja ei ole.</t>
        </r>
        <r>
          <rPr>
            <sz val="9"/>
            <color indexed="81"/>
            <rFont val="Tahoma"/>
            <family val="2"/>
          </rPr>
          <t xml:space="preserve">
</t>
        </r>
      </text>
    </comment>
    <comment ref="D57" authorId="0" shapeId="0" xr:uid="{00000000-0006-0000-0200-000068000000}">
      <text>
        <r>
          <rPr>
            <sz val="10"/>
            <color indexed="81"/>
            <rFont val="Tahoma"/>
            <family val="2"/>
          </rPr>
          <t>Käyttää aiemmin syötettyä polttoaineen kulutusta ja hintaa.</t>
        </r>
      </text>
    </comment>
    <comment ref="K57" authorId="0" shapeId="0" xr:uid="{00000000-0006-0000-0200-000069000000}">
      <text>
        <r>
          <rPr>
            <sz val="10"/>
            <color indexed="81"/>
            <rFont val="Tahoma"/>
            <family val="2"/>
          </rPr>
          <t>Käyttää aiemmin syötettyä polttoaineen kulutusta ja hintaa.</t>
        </r>
      </text>
    </comment>
    <comment ref="R57" authorId="0" shapeId="0" xr:uid="{00000000-0006-0000-0200-00006A000000}">
      <text>
        <r>
          <rPr>
            <sz val="10"/>
            <color indexed="81"/>
            <rFont val="Tahoma"/>
            <family val="2"/>
          </rPr>
          <t>Käyttää aiemmin syötettyä polttoaineen kulutusta ja hintaa.</t>
        </r>
      </text>
    </comment>
    <comment ref="Y57" authorId="0" shapeId="0" xr:uid="{00000000-0006-0000-0200-00006B000000}">
      <text>
        <r>
          <rPr>
            <sz val="10"/>
            <color indexed="81"/>
            <rFont val="Tahoma"/>
            <family val="2"/>
          </rPr>
          <t>Käyttää aiemmin syötettyä polttoaineen kulutusta ja hintaa.</t>
        </r>
      </text>
    </comment>
    <comment ref="D62" authorId="0" shapeId="0" xr:uid="{00000000-0006-0000-0200-00006C000000}">
      <text>
        <r>
          <rPr>
            <sz val="10"/>
            <color indexed="81"/>
            <rFont val="Tahoma"/>
            <family val="2"/>
          </rPr>
          <t>Merkitse pyydyksen nimi. Kopioituu eteenpäin kuvien otsakkeiksi.</t>
        </r>
      </text>
    </comment>
    <comment ref="E62" authorId="1" shapeId="0" xr:uid="{00000000-0006-0000-0200-00006D000000}">
      <text>
        <r>
          <rPr>
            <sz val="10"/>
            <color indexed="81"/>
            <rFont val="Tahoma"/>
            <family val="2"/>
          </rPr>
          <t>Merkitse pyyntikausi.</t>
        </r>
      </text>
    </comment>
    <comment ref="L62" authorId="1" shapeId="0" xr:uid="{00000000-0006-0000-0200-00006E000000}">
      <text>
        <r>
          <rPr>
            <sz val="10"/>
            <color indexed="81"/>
            <rFont val="Tahoma"/>
            <family val="2"/>
          </rPr>
          <t>Merkitse pyyntikausi.</t>
        </r>
      </text>
    </comment>
    <comment ref="S62" authorId="1" shapeId="0" xr:uid="{00000000-0006-0000-0200-00006F000000}">
      <text>
        <r>
          <rPr>
            <sz val="10"/>
            <color indexed="81"/>
            <rFont val="Tahoma"/>
            <family val="2"/>
          </rPr>
          <t>Merkitse pyyntikausi.</t>
        </r>
      </text>
    </comment>
    <comment ref="Z62" authorId="1" shapeId="0" xr:uid="{00000000-0006-0000-0200-000070000000}">
      <text>
        <r>
          <rPr>
            <sz val="10"/>
            <color indexed="81"/>
            <rFont val="Tahoma"/>
            <family val="2"/>
          </rPr>
          <t>Merkitse pyyntikausi.</t>
        </r>
      </text>
    </comment>
    <comment ref="F64" authorId="1" shapeId="0" xr:uid="{00000000-0006-0000-0200-000071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G64" authorId="0" shapeId="0" xr:uid="{00000000-0006-0000-0200-000072000000}">
      <text>
        <r>
          <rPr>
            <sz val="10"/>
            <color indexed="81"/>
            <rFont val="Tahoma"/>
            <family val="2"/>
          </rPr>
          <t>Keskimäärin pyyntikaudella.</t>
        </r>
        <r>
          <rPr>
            <sz val="9"/>
            <color indexed="81"/>
            <rFont val="Tahoma"/>
            <family val="2"/>
          </rPr>
          <t xml:space="preserve">
</t>
        </r>
      </text>
    </comment>
    <comment ref="M64" authorId="1" shapeId="0" xr:uid="{00000000-0006-0000-0200-000073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N64" authorId="0" shapeId="0" xr:uid="{00000000-0006-0000-0200-000074000000}">
      <text>
        <r>
          <rPr>
            <sz val="10"/>
            <color indexed="81"/>
            <rFont val="Tahoma"/>
            <family val="2"/>
          </rPr>
          <t>Keskimäärin pyyntikaudella.</t>
        </r>
        <r>
          <rPr>
            <sz val="9"/>
            <color indexed="81"/>
            <rFont val="Tahoma"/>
            <family val="2"/>
          </rPr>
          <t xml:space="preserve">
</t>
        </r>
      </text>
    </comment>
    <comment ref="T64" authorId="1" shapeId="0" xr:uid="{00000000-0006-0000-0200-000075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U64" authorId="0" shapeId="0" xr:uid="{00000000-0006-0000-0200-000076000000}">
      <text>
        <r>
          <rPr>
            <sz val="10"/>
            <color indexed="81"/>
            <rFont val="Tahoma"/>
            <family val="2"/>
          </rPr>
          <t>Keskimäärin pyyntikaudella.</t>
        </r>
        <r>
          <rPr>
            <sz val="9"/>
            <color indexed="81"/>
            <rFont val="Tahoma"/>
            <family val="2"/>
          </rPr>
          <t xml:space="preserve">
</t>
        </r>
      </text>
    </comment>
    <comment ref="AA64" authorId="1" shapeId="0" xr:uid="{00000000-0006-0000-0200-000077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AB64" authorId="0" shapeId="0" xr:uid="{00000000-0006-0000-0200-000078000000}">
      <text>
        <r>
          <rPr>
            <sz val="10"/>
            <color indexed="81"/>
            <rFont val="Tahoma"/>
            <family val="2"/>
          </rPr>
          <t>Keskimäärin pyyntikaudella.</t>
        </r>
        <r>
          <rPr>
            <sz val="9"/>
            <color indexed="81"/>
            <rFont val="Tahoma"/>
            <family val="2"/>
          </rPr>
          <t xml:space="preserve">
</t>
        </r>
      </text>
    </comment>
    <comment ref="E67" authorId="2" shapeId="0" xr:uid="{00000000-0006-0000-0200-000079000000}">
      <text>
        <r>
          <rPr>
            <sz val="10"/>
            <color indexed="81"/>
            <rFont val="Tahoma"/>
            <family val="2"/>
          </rPr>
          <t>Merkitse  pv.kk   
esim. ensimmäinen tammikuuta on 1.1
Tarkasta ylhäällä olevasta kirjoitusosasta, että lopetuspäivämäärään tulee 
sama vuosi.</t>
        </r>
      </text>
    </comment>
    <comment ref="L67" authorId="2" shapeId="0" xr:uid="{00000000-0006-0000-0200-00007A000000}">
      <text>
        <r>
          <rPr>
            <sz val="10"/>
            <color indexed="81"/>
            <rFont val="Tahoma"/>
            <family val="2"/>
          </rPr>
          <t>Merkitse  pv.kk   
esim. ensimmäinen tammikuuta on 1.1
Tarkasta ylhäällä olevasta kirjoitusosasta, että lopetuspäivämäärään tulee 
sama vuosi.</t>
        </r>
      </text>
    </comment>
    <comment ref="S67" authorId="2" shapeId="0" xr:uid="{00000000-0006-0000-0200-00007B000000}">
      <text>
        <r>
          <rPr>
            <sz val="10"/>
            <color indexed="81"/>
            <rFont val="Tahoma"/>
            <family val="2"/>
          </rPr>
          <t>Merkitse  pv.kk   
esim. ensimmäinen tammikuuta on 1.1
Tarkasta ylhäällä olevasta kirjoitusosasta, että lopetuspäivämäärään tulee 
sama vuosi.</t>
        </r>
      </text>
    </comment>
    <comment ref="Z67" authorId="2" shapeId="0" xr:uid="{00000000-0006-0000-0200-00007C000000}">
      <text>
        <r>
          <rPr>
            <sz val="10"/>
            <color indexed="81"/>
            <rFont val="Tahoma"/>
            <family val="2"/>
          </rPr>
          <t>Merkitse  pv.kk   
esim. ensimmäinen tammikuuta on 1.1
Tarkasta ylhäällä olevasta kirjoitusosasta, että lopetuspäivämäärään tulee 
sama vuosi.</t>
        </r>
      </text>
    </comment>
    <comment ref="E68" authorId="2" shapeId="0" xr:uid="{00000000-0006-0000-0200-00007D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68" authorId="2" shapeId="0" xr:uid="{00000000-0006-0000-0200-00007E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S68" authorId="2" shapeId="0" xr:uid="{00000000-0006-0000-0200-00007F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Z68" authorId="2" shapeId="0" xr:uid="{00000000-0006-0000-0200-000080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E71" authorId="0" shapeId="0" xr:uid="{00000000-0006-0000-0200-000081000000}">
      <text>
        <r>
          <rPr>
            <sz val="10"/>
            <color indexed="81"/>
            <rFont val="Tahoma"/>
            <family val="2"/>
          </rPr>
          <t>Keskimäärin pyyntikaudella.</t>
        </r>
        <r>
          <rPr>
            <sz val="9"/>
            <color indexed="81"/>
            <rFont val="Tahoma"/>
            <family val="2"/>
          </rPr>
          <t xml:space="preserve">
</t>
        </r>
      </text>
    </comment>
    <comment ref="L71" authorId="0" shapeId="0" xr:uid="{00000000-0006-0000-0200-000082000000}">
      <text>
        <r>
          <rPr>
            <sz val="10"/>
            <color indexed="81"/>
            <rFont val="Tahoma"/>
            <family val="2"/>
          </rPr>
          <t>Keskimäärin pyyntikaudella.</t>
        </r>
        <r>
          <rPr>
            <sz val="9"/>
            <color indexed="81"/>
            <rFont val="Tahoma"/>
            <family val="2"/>
          </rPr>
          <t xml:space="preserve">
</t>
        </r>
      </text>
    </comment>
    <comment ref="S71" authorId="0" shapeId="0" xr:uid="{00000000-0006-0000-0200-000083000000}">
      <text>
        <r>
          <rPr>
            <sz val="10"/>
            <color indexed="81"/>
            <rFont val="Tahoma"/>
            <family val="2"/>
          </rPr>
          <t>Keskimäärin pyyntikaudella.</t>
        </r>
        <r>
          <rPr>
            <sz val="9"/>
            <color indexed="81"/>
            <rFont val="Tahoma"/>
            <family val="2"/>
          </rPr>
          <t xml:space="preserve">
</t>
        </r>
      </text>
    </comment>
    <comment ref="Z71" authorId="0" shapeId="0" xr:uid="{00000000-0006-0000-0200-000084000000}">
      <text>
        <r>
          <rPr>
            <sz val="10"/>
            <color indexed="81"/>
            <rFont val="Tahoma"/>
            <family val="2"/>
          </rPr>
          <t>Keskimäärin pyyntikaudella.</t>
        </r>
        <r>
          <rPr>
            <sz val="9"/>
            <color indexed="81"/>
            <rFont val="Tahoma"/>
            <family val="2"/>
          </rPr>
          <t xml:space="preserve">
</t>
        </r>
      </text>
    </comment>
    <comment ref="D76" authorId="2" shapeId="0" xr:uid="{00000000-0006-0000-0200-000085000000}">
      <text>
        <r>
          <rPr>
            <sz val="10"/>
            <color indexed="81"/>
            <rFont val="Tahoma"/>
            <family val="2"/>
          </rPr>
          <t>Matka kalasatamaan tai rantaan, mistä lähdetään kalaan.</t>
        </r>
      </text>
    </comment>
    <comment ref="E76" authorId="0" shapeId="0" xr:uid="{00000000-0006-0000-0200-000086000000}">
      <text>
        <r>
          <rPr>
            <sz val="10"/>
            <color indexed="81"/>
            <rFont val="Tahoma"/>
            <family val="2"/>
          </rPr>
          <t>Laita 0, jos matkoja ei ole.</t>
        </r>
        <r>
          <rPr>
            <sz val="9"/>
            <color indexed="81"/>
            <rFont val="Tahoma"/>
            <family val="2"/>
          </rPr>
          <t xml:space="preserve">
</t>
        </r>
      </text>
    </comment>
    <comment ref="K76" authorId="2" shapeId="0" xr:uid="{00000000-0006-0000-0200-000087000000}">
      <text>
        <r>
          <rPr>
            <sz val="10"/>
            <color indexed="81"/>
            <rFont val="Tahoma"/>
            <family val="2"/>
          </rPr>
          <t>Matka kalasatamaan tai rantaan, mistä lähdetään kalaan.</t>
        </r>
      </text>
    </comment>
    <comment ref="L76" authorId="0" shapeId="0" xr:uid="{00000000-0006-0000-0200-000088000000}">
      <text>
        <r>
          <rPr>
            <sz val="10"/>
            <color indexed="81"/>
            <rFont val="Tahoma"/>
            <family val="2"/>
          </rPr>
          <t>Laita 0, jos matkoja ei ole.</t>
        </r>
        <r>
          <rPr>
            <sz val="9"/>
            <color indexed="81"/>
            <rFont val="Tahoma"/>
            <family val="2"/>
          </rPr>
          <t xml:space="preserve">
</t>
        </r>
      </text>
    </comment>
    <comment ref="R76" authorId="2" shapeId="0" xr:uid="{00000000-0006-0000-0200-000089000000}">
      <text>
        <r>
          <rPr>
            <sz val="10"/>
            <color indexed="81"/>
            <rFont val="Tahoma"/>
            <family val="2"/>
          </rPr>
          <t>Matka kalasatamaan tai rantaan, mistä lähdetään kalaan.</t>
        </r>
      </text>
    </comment>
    <comment ref="S76" authorId="0" shapeId="0" xr:uid="{00000000-0006-0000-0200-00008A000000}">
      <text>
        <r>
          <rPr>
            <sz val="10"/>
            <color indexed="81"/>
            <rFont val="Tahoma"/>
            <family val="2"/>
          </rPr>
          <t>Laita 0, jos matkoja ei ole.</t>
        </r>
        <r>
          <rPr>
            <sz val="9"/>
            <color indexed="81"/>
            <rFont val="Tahoma"/>
            <family val="2"/>
          </rPr>
          <t xml:space="preserve">
</t>
        </r>
      </text>
    </comment>
    <comment ref="Y76" authorId="2" shapeId="0" xr:uid="{00000000-0006-0000-0200-00008B000000}">
      <text>
        <r>
          <rPr>
            <sz val="10"/>
            <color indexed="81"/>
            <rFont val="Tahoma"/>
            <family val="2"/>
          </rPr>
          <t>Matka kalasatamaan tai rantaan, mistä lähdetään kalaan.</t>
        </r>
      </text>
    </comment>
    <comment ref="Z76" authorId="0" shapeId="0" xr:uid="{00000000-0006-0000-0200-00008C000000}">
      <text>
        <r>
          <rPr>
            <sz val="10"/>
            <color indexed="81"/>
            <rFont val="Tahoma"/>
            <family val="2"/>
          </rPr>
          <t>Laita 0, jos matkoja ei ole.</t>
        </r>
        <r>
          <rPr>
            <sz val="9"/>
            <color indexed="81"/>
            <rFont val="Tahoma"/>
            <family val="2"/>
          </rPr>
          <t xml:space="preserve">
</t>
        </r>
      </text>
    </comment>
    <comment ref="G78" authorId="0" shapeId="0" xr:uid="{00000000-0006-0000-0200-00008D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N78" authorId="0" shapeId="0" xr:uid="{00000000-0006-0000-0200-00008E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U78" authorId="0" shapeId="0" xr:uid="{00000000-0006-0000-0200-00008F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AB78" authorId="0" shapeId="0" xr:uid="{00000000-0006-0000-0200-000090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D79" authorId="2" shapeId="0" xr:uid="{00000000-0006-0000-0200-000091000000}">
      <text>
        <r>
          <rPr>
            <sz val="10"/>
            <color indexed="81"/>
            <rFont val="Tahoma"/>
            <family val="2"/>
          </rPr>
          <t>Edestakaisen matkan pituus. Esim. yrityksen maksama työntekijän matka
rantaan lähemmäs pyyntipaikkaa. Tukkumatkat täytetään erikseen.</t>
        </r>
      </text>
    </comment>
    <comment ref="K79" authorId="2" shapeId="0" xr:uid="{00000000-0006-0000-0200-000092000000}">
      <text>
        <r>
          <rPr>
            <sz val="10"/>
            <color indexed="81"/>
            <rFont val="Tahoma"/>
            <family val="2"/>
          </rPr>
          <t>Edestakaisen matkan pituus. Esim. yrityksen maksama työntekijän matka
rantaan lähemmäs pyyntipaikkaa. Tukkumatkat täytetään erikseen.</t>
        </r>
      </text>
    </comment>
    <comment ref="R79" authorId="2" shapeId="0" xr:uid="{00000000-0006-0000-0200-000093000000}">
      <text>
        <r>
          <rPr>
            <sz val="10"/>
            <color indexed="81"/>
            <rFont val="Tahoma"/>
            <family val="2"/>
          </rPr>
          <t>Edestakaisen matkan pituus. Esim. yrityksen maksama työntekijän matka
rantaan lähemmäs pyyntipaikkaa. Tukkumatkat täytetään erikseen.</t>
        </r>
      </text>
    </comment>
    <comment ref="Y79" authorId="2" shapeId="0" xr:uid="{00000000-0006-0000-0200-000094000000}">
      <text>
        <r>
          <rPr>
            <sz val="10"/>
            <color indexed="81"/>
            <rFont val="Tahoma"/>
            <family val="2"/>
          </rPr>
          <t>Edestakaisen matkan pituus. Esim. yrityksen maksama työntekijän matka
rantaan lähemmäs pyyntipaikkaa. Tukkumatkat täytetään erikseen.</t>
        </r>
      </text>
    </comment>
    <comment ref="E83" authorId="3" shapeId="0" xr:uid="{00000000-0006-0000-0200-000095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G83" authorId="1" shapeId="0" xr:uid="{00000000-0006-0000-0200-000096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L83" authorId="3" shapeId="0" xr:uid="{00000000-0006-0000-0200-000097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N83" authorId="1" shapeId="0" xr:uid="{00000000-0006-0000-0200-000098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S83" authorId="3" shapeId="0" xr:uid="{00000000-0006-0000-0200-000099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U83" authorId="1" shapeId="0" xr:uid="{00000000-0006-0000-0200-00009A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Z83" authorId="3" shapeId="0" xr:uid="{00000000-0006-0000-0200-00009B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AB83" authorId="1" shapeId="0" xr:uid="{00000000-0006-0000-0200-00009C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E89" authorId="0" shapeId="0" xr:uid="{00000000-0006-0000-0200-00009D000000}">
      <text>
        <r>
          <rPr>
            <sz val="10"/>
            <color indexed="81"/>
            <rFont val="Tahoma"/>
            <family val="2"/>
          </rPr>
          <t xml:space="preserve">Laita 0, jos matkoja ei ole.
</t>
        </r>
      </text>
    </comment>
    <comment ref="L89" authorId="0" shapeId="0" xr:uid="{00000000-0006-0000-0200-00009E000000}">
      <text>
        <r>
          <rPr>
            <sz val="10"/>
            <color indexed="81"/>
            <rFont val="Tahoma"/>
            <family val="2"/>
          </rPr>
          <t xml:space="preserve">Laita 0, jos matkoja ei ole.
</t>
        </r>
      </text>
    </comment>
    <comment ref="S89" authorId="0" shapeId="0" xr:uid="{00000000-0006-0000-0200-00009F000000}">
      <text>
        <r>
          <rPr>
            <sz val="10"/>
            <color indexed="81"/>
            <rFont val="Tahoma"/>
            <family val="2"/>
          </rPr>
          <t xml:space="preserve">Laita 0, jos matkoja ei ole.
</t>
        </r>
      </text>
    </comment>
    <comment ref="Z89" authorId="0" shapeId="0" xr:uid="{00000000-0006-0000-0200-0000A0000000}">
      <text>
        <r>
          <rPr>
            <sz val="10"/>
            <color indexed="81"/>
            <rFont val="Tahoma"/>
            <family val="2"/>
          </rPr>
          <t xml:space="preserve">Laita 0, jos matkoja ei ole.
</t>
        </r>
      </text>
    </comment>
    <comment ref="E90" authorId="2" shapeId="0" xr:uid="{00000000-0006-0000-0200-0000A1000000}">
      <text>
        <r>
          <rPr>
            <sz val="10"/>
            <color indexed="81"/>
            <rFont val="Tahoma"/>
            <family val="2"/>
          </rPr>
          <t>Koko kalastusmatkaan kulunut aika sisältäen matkojen lisäksi pyydyksen koennan.</t>
        </r>
      </text>
    </comment>
    <comment ref="G90" authorId="2" shapeId="0" xr:uid="{00000000-0006-0000-0200-0000A2000000}">
      <text>
        <r>
          <rPr>
            <sz val="10"/>
            <color indexed="81"/>
            <rFont val="Tahoma"/>
            <family val="2"/>
          </rPr>
          <t>Jos apuhenkilö mukana puolet matkoista, merkitse tähän kertoimeksi 1,5.</t>
        </r>
        <r>
          <rPr>
            <sz val="8"/>
            <color indexed="81"/>
            <rFont val="Tahoma"/>
            <family val="2"/>
          </rPr>
          <t xml:space="preserve">
</t>
        </r>
      </text>
    </comment>
    <comment ref="L90" authorId="2" shapeId="0" xr:uid="{00000000-0006-0000-0200-0000A3000000}">
      <text>
        <r>
          <rPr>
            <sz val="10"/>
            <color indexed="81"/>
            <rFont val="Tahoma"/>
            <family val="2"/>
          </rPr>
          <t>Koko kalastusmatkaan kulunut aika sisältäen matkojen lisäksi pyydyksen koennan.</t>
        </r>
      </text>
    </comment>
    <comment ref="N90" authorId="2" shapeId="0" xr:uid="{00000000-0006-0000-0200-0000A4000000}">
      <text>
        <r>
          <rPr>
            <sz val="10"/>
            <color indexed="81"/>
            <rFont val="Tahoma"/>
            <family val="2"/>
          </rPr>
          <t>Jos apuhenkilö mukana puolet matkoista, merkitse tähän kertoimeksi 1,5.</t>
        </r>
        <r>
          <rPr>
            <sz val="8"/>
            <color indexed="81"/>
            <rFont val="Tahoma"/>
            <family val="2"/>
          </rPr>
          <t xml:space="preserve">
</t>
        </r>
      </text>
    </comment>
    <comment ref="S90" authorId="2" shapeId="0" xr:uid="{00000000-0006-0000-0200-0000A5000000}">
      <text>
        <r>
          <rPr>
            <sz val="10"/>
            <color indexed="81"/>
            <rFont val="Tahoma"/>
            <family val="2"/>
          </rPr>
          <t>Koko kalastusmatkaan kulunut aika sisältäen matkojen lisäksi pyydyksen koennan.</t>
        </r>
      </text>
    </comment>
    <comment ref="U90" authorId="2" shapeId="0" xr:uid="{00000000-0006-0000-0200-0000A6000000}">
      <text>
        <r>
          <rPr>
            <sz val="10"/>
            <color indexed="81"/>
            <rFont val="Tahoma"/>
            <family val="2"/>
          </rPr>
          <t>Jos apuhenkilö mukana puolet matkoista, merkitse tähän kertoimeksi 1,5.</t>
        </r>
        <r>
          <rPr>
            <sz val="8"/>
            <color indexed="81"/>
            <rFont val="Tahoma"/>
            <family val="2"/>
          </rPr>
          <t xml:space="preserve">
</t>
        </r>
      </text>
    </comment>
    <comment ref="Z90" authorId="2" shapeId="0" xr:uid="{00000000-0006-0000-0200-0000A7000000}">
      <text>
        <r>
          <rPr>
            <sz val="10"/>
            <color indexed="81"/>
            <rFont val="Tahoma"/>
            <family val="2"/>
          </rPr>
          <t>Koko kalastusmatkaan kulunut aika sisältäen matkojen lisäksi pyydyksen koennan.</t>
        </r>
      </text>
    </comment>
    <comment ref="AB90" authorId="2" shapeId="0" xr:uid="{00000000-0006-0000-0200-0000A8000000}">
      <text>
        <r>
          <rPr>
            <sz val="10"/>
            <color indexed="81"/>
            <rFont val="Tahoma"/>
            <family val="2"/>
          </rPr>
          <t>Jos apuhenkilö mukana puolet matkoista, merkitse tähän kertoimeksi 1,5.</t>
        </r>
        <r>
          <rPr>
            <sz val="8"/>
            <color indexed="81"/>
            <rFont val="Tahoma"/>
            <family val="2"/>
          </rPr>
          <t xml:space="preserve">
</t>
        </r>
      </text>
    </comment>
    <comment ref="E92" authorId="0" shapeId="0" xr:uid="{00000000-0006-0000-0200-0000A9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92" authorId="1" shapeId="0" xr:uid="{00000000-0006-0000-0200-0000AA000000}">
      <text>
        <r>
          <rPr>
            <sz val="10"/>
            <color indexed="81"/>
            <rFont val="Tahoma"/>
            <family val="2"/>
          </rPr>
          <t>Merkitse:
1 = bensiini
2 = polttoöljy</t>
        </r>
        <r>
          <rPr>
            <sz val="9"/>
            <color indexed="81"/>
            <rFont val="Tahoma"/>
            <family val="2"/>
          </rPr>
          <t xml:space="preserve">
</t>
        </r>
      </text>
    </comment>
    <comment ref="L92" authorId="0" shapeId="0" xr:uid="{00000000-0006-0000-0200-0000AB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N92" authorId="1" shapeId="0" xr:uid="{00000000-0006-0000-0200-0000AC000000}">
      <text>
        <r>
          <rPr>
            <sz val="10"/>
            <color indexed="81"/>
            <rFont val="Tahoma"/>
            <family val="2"/>
          </rPr>
          <t>Merkitse:
1 = bensiini
2 = polttoöljy</t>
        </r>
        <r>
          <rPr>
            <sz val="9"/>
            <color indexed="81"/>
            <rFont val="Tahoma"/>
            <family val="2"/>
          </rPr>
          <t xml:space="preserve">
</t>
        </r>
      </text>
    </comment>
    <comment ref="S92" authorId="0" shapeId="0" xr:uid="{00000000-0006-0000-0200-0000AD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U92" authorId="1" shapeId="0" xr:uid="{00000000-0006-0000-0200-0000AE000000}">
      <text>
        <r>
          <rPr>
            <sz val="10"/>
            <color indexed="81"/>
            <rFont val="Tahoma"/>
            <family val="2"/>
          </rPr>
          <t>Merkitse:
1 = bensiini
2 = polttoöljy</t>
        </r>
        <r>
          <rPr>
            <sz val="9"/>
            <color indexed="81"/>
            <rFont val="Tahoma"/>
            <family val="2"/>
          </rPr>
          <t xml:space="preserve">
</t>
        </r>
      </text>
    </comment>
    <comment ref="Z92" authorId="0" shapeId="0" xr:uid="{00000000-0006-0000-0200-0000AF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AB92" authorId="1" shapeId="0" xr:uid="{00000000-0006-0000-0200-0000B0000000}">
      <text>
        <r>
          <rPr>
            <sz val="10"/>
            <color indexed="81"/>
            <rFont val="Tahoma"/>
            <family val="2"/>
          </rPr>
          <t>Merkitse:
1 = bensiini
2 = polttoöljy</t>
        </r>
        <r>
          <rPr>
            <sz val="9"/>
            <color indexed="81"/>
            <rFont val="Tahoma"/>
            <family val="2"/>
          </rPr>
          <t xml:space="preserve">
</t>
        </r>
      </text>
    </comment>
    <comment ref="E97" authorId="0" shapeId="0" xr:uid="{00000000-0006-0000-0200-0000B1000000}">
      <text>
        <r>
          <rPr>
            <sz val="10"/>
            <color indexed="81"/>
            <rFont val="Tahoma"/>
            <family val="2"/>
          </rPr>
          <t xml:space="preserve">Laita 0, jos matkoja ei ole.
</t>
        </r>
      </text>
    </comment>
    <comment ref="L97" authorId="0" shapeId="0" xr:uid="{00000000-0006-0000-0200-0000B2000000}">
      <text>
        <r>
          <rPr>
            <sz val="10"/>
            <color indexed="81"/>
            <rFont val="Tahoma"/>
            <family val="2"/>
          </rPr>
          <t xml:space="preserve">Laita 0, jos matkoja ei ole.
</t>
        </r>
      </text>
    </comment>
    <comment ref="S97" authorId="0" shapeId="0" xr:uid="{00000000-0006-0000-0200-0000B3000000}">
      <text>
        <r>
          <rPr>
            <sz val="10"/>
            <color indexed="81"/>
            <rFont val="Tahoma"/>
            <family val="2"/>
          </rPr>
          <t xml:space="preserve">Laita 0, jos matkoja ei ole.
</t>
        </r>
      </text>
    </comment>
    <comment ref="Z97" authorId="0" shapeId="0" xr:uid="{00000000-0006-0000-0200-0000B4000000}">
      <text>
        <r>
          <rPr>
            <sz val="10"/>
            <color indexed="81"/>
            <rFont val="Tahoma"/>
            <family val="2"/>
          </rPr>
          <t xml:space="preserve">Laita 0, jos matkoja ei ole.
</t>
        </r>
      </text>
    </comment>
    <comment ref="E98" authorId="2" shapeId="0" xr:uid="{00000000-0006-0000-0200-0000B5000000}">
      <text>
        <r>
          <rPr>
            <sz val="10"/>
            <color indexed="81"/>
            <rFont val="Tahoma"/>
            <family val="2"/>
          </rPr>
          <t>Koko kalastusmatkaan kulunut aika sisältäen matkojen lisäksi pyydyksen koennan.</t>
        </r>
      </text>
    </comment>
    <comment ref="L98" authorId="2" shapeId="0" xr:uid="{00000000-0006-0000-0200-0000B6000000}">
      <text>
        <r>
          <rPr>
            <sz val="10"/>
            <color indexed="81"/>
            <rFont val="Tahoma"/>
            <family val="2"/>
          </rPr>
          <t>Koko kalastusmatkaan kulunut aika sisältäen matkojen lisäksi pyydyksen koennan.</t>
        </r>
      </text>
    </comment>
    <comment ref="S98" authorId="2" shapeId="0" xr:uid="{00000000-0006-0000-0200-0000B7000000}">
      <text>
        <r>
          <rPr>
            <sz val="10"/>
            <color indexed="81"/>
            <rFont val="Tahoma"/>
            <family val="2"/>
          </rPr>
          <t>Koko kalastusmatkaan kulunut aika sisältäen matkojen lisäksi pyydyksen koennan.</t>
        </r>
      </text>
    </comment>
    <comment ref="Z98" authorId="2" shapeId="0" xr:uid="{00000000-0006-0000-0200-0000B8000000}">
      <text>
        <r>
          <rPr>
            <sz val="10"/>
            <color indexed="81"/>
            <rFont val="Tahoma"/>
            <family val="2"/>
          </rPr>
          <t>Koko kalastusmatkaan kulunut aika sisältäen matkojen lisäksi pyydyksen koennan.</t>
        </r>
      </text>
    </comment>
    <comment ref="E100" authorId="3" shapeId="0" xr:uid="{00000000-0006-0000-0200-0000B9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L100" authorId="3" shapeId="0" xr:uid="{00000000-0006-0000-0200-0000BA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S100" authorId="3" shapeId="0" xr:uid="{00000000-0006-0000-0200-0000BB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Z100" authorId="3" shapeId="0" xr:uid="{00000000-0006-0000-0200-0000BC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E106" authorId="2" shapeId="0" xr:uid="{00000000-0006-0000-0200-0000BD000000}">
      <text>
        <r>
          <rPr>
            <sz val="10"/>
            <color indexed="81"/>
            <rFont val="Tahoma"/>
            <family val="2"/>
          </rPr>
          <t>Merkitse saaliin siirtoihin ja pakkaamiseen menevä aika. Perkaus, fileointi ja mädin talteenotto -työajat lasketaan taulukossa "5. Kalan alkukäsittely satamassa".</t>
        </r>
      </text>
    </comment>
    <comment ref="L106" authorId="2" shapeId="0" xr:uid="{00000000-0006-0000-0200-0000BE000000}">
      <text>
        <r>
          <rPr>
            <sz val="10"/>
            <color indexed="81"/>
            <rFont val="Tahoma"/>
            <family val="2"/>
          </rPr>
          <t>Merkitse saaliin siirtoihin ja pakkaamiseen menevä aika. Perkaus, fileointi ja mädin talteenotto -työajat lasketaan taulukossa "5. Kalan alkukäsittely satamassa".</t>
        </r>
      </text>
    </comment>
    <comment ref="S106" authorId="2" shapeId="0" xr:uid="{00000000-0006-0000-0200-0000BF000000}">
      <text>
        <r>
          <rPr>
            <sz val="10"/>
            <color indexed="81"/>
            <rFont val="Tahoma"/>
            <family val="2"/>
          </rPr>
          <t>Merkitse saaliin siirtoihin ja pakkaamiseen menevä aika. Perkaus, fileointi ja mädin talteenotto -työajat lasketaan taulukossa "5. Kalan alkukäsittely satamassa".</t>
        </r>
      </text>
    </comment>
    <comment ref="Z106" authorId="2" shapeId="0" xr:uid="{00000000-0006-0000-0200-0000C0000000}">
      <text>
        <r>
          <rPr>
            <sz val="10"/>
            <color indexed="81"/>
            <rFont val="Tahoma"/>
            <family val="2"/>
          </rPr>
          <t>Merkitse saaliin siirtoihin ja pakkaamiseen menevä aika. Perkaus, fileointi ja mädin talteenotto -työajat lasketaan taulukossa "5. Kalan alkukäsittely satamassa".</t>
        </r>
      </text>
    </comment>
    <comment ref="D109" authorId="2" shapeId="0" xr:uid="{00000000-0006-0000-0200-0000C1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K109" authorId="2" shapeId="0" xr:uid="{00000000-0006-0000-0200-0000C2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R109" authorId="2" shapeId="0" xr:uid="{00000000-0006-0000-0200-0000C3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Y109" authorId="2" shapeId="0" xr:uid="{00000000-0006-0000-0200-0000C4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E112" authorId="1" shapeId="0" xr:uid="{00000000-0006-0000-0200-0000C5000000}">
      <text>
        <r>
          <rPr>
            <sz val="10"/>
            <color indexed="81"/>
            <rFont val="Tahoma"/>
            <family val="2"/>
          </rPr>
          <t>Merkitään saaliin kuljetuksen kotimatkaan aiheuttamat lisäkilometrit.</t>
        </r>
      </text>
    </comment>
    <comment ref="L112" authorId="1" shapeId="0" xr:uid="{00000000-0006-0000-0200-0000C6000000}">
      <text>
        <r>
          <rPr>
            <sz val="10"/>
            <color indexed="81"/>
            <rFont val="Tahoma"/>
            <family val="2"/>
          </rPr>
          <t>Merkitään saaliin kuljetuksen kotimatkaan aiheuttamat lisäkilometrit.</t>
        </r>
      </text>
    </comment>
    <comment ref="S112" authorId="1" shapeId="0" xr:uid="{00000000-0006-0000-0200-0000C7000000}">
      <text>
        <r>
          <rPr>
            <sz val="10"/>
            <color indexed="81"/>
            <rFont val="Tahoma"/>
            <family val="2"/>
          </rPr>
          <t>Merkitään saaliin kuljetuksen kotimatkaan aiheuttamat lisäkilometrit.</t>
        </r>
      </text>
    </comment>
    <comment ref="Z112" authorId="1" shapeId="0" xr:uid="{00000000-0006-0000-0200-0000C8000000}">
      <text>
        <r>
          <rPr>
            <sz val="10"/>
            <color indexed="81"/>
            <rFont val="Tahoma"/>
            <family val="2"/>
          </rPr>
          <t>Merkitään saaliin kuljetuksen kotimatkaan aiheuttamat lisäkilometrit.</t>
        </r>
      </text>
    </comment>
    <comment ref="E113" authorId="1" shapeId="0" xr:uid="{00000000-0006-0000-0200-0000C9000000}">
      <text>
        <r>
          <rPr>
            <sz val="10"/>
            <color indexed="81"/>
            <rFont val="Tahoma"/>
            <family val="2"/>
          </rPr>
          <t>Merkitään saaliin kuljetuksen kotimatkaan aiheuttama lisämatka-aika.</t>
        </r>
      </text>
    </comment>
    <comment ref="L113" authorId="1" shapeId="0" xr:uid="{00000000-0006-0000-0200-0000CA000000}">
      <text>
        <r>
          <rPr>
            <sz val="10"/>
            <color indexed="81"/>
            <rFont val="Tahoma"/>
            <family val="2"/>
          </rPr>
          <t>Merkitään saaliin kuljetuksen kotimatkaan aiheuttama lisämatka-aika.</t>
        </r>
      </text>
    </comment>
    <comment ref="S113" authorId="1" shapeId="0" xr:uid="{00000000-0006-0000-0200-0000CB000000}">
      <text>
        <r>
          <rPr>
            <sz val="10"/>
            <color indexed="81"/>
            <rFont val="Tahoma"/>
            <family val="2"/>
          </rPr>
          <t>Merkitään saaliin kuljetuksen kotimatkaan aiheuttama lisämatka-aika.</t>
        </r>
      </text>
    </comment>
    <comment ref="Z113" authorId="1" shapeId="0" xr:uid="{00000000-0006-0000-0200-0000CC000000}">
      <text>
        <r>
          <rPr>
            <sz val="10"/>
            <color indexed="81"/>
            <rFont val="Tahoma"/>
            <family val="2"/>
          </rPr>
          <t>Merkitään saaliin kuljetuksen kotimatkaan aiheuttama lisämatka-aika.</t>
        </r>
      </text>
    </comment>
    <comment ref="E114" authorId="0" shapeId="0" xr:uid="{00000000-0006-0000-0200-0000CD000000}">
      <text>
        <r>
          <rPr>
            <sz val="10"/>
            <color indexed="81"/>
            <rFont val="Tahoma"/>
            <family val="2"/>
          </rPr>
          <t>Laita 0, jos matkoja ei ole.</t>
        </r>
        <r>
          <rPr>
            <sz val="9"/>
            <color indexed="81"/>
            <rFont val="Tahoma"/>
            <family val="2"/>
          </rPr>
          <t xml:space="preserve">
</t>
        </r>
      </text>
    </comment>
    <comment ref="L114" authorId="0" shapeId="0" xr:uid="{00000000-0006-0000-0200-0000CE000000}">
      <text>
        <r>
          <rPr>
            <sz val="10"/>
            <color indexed="81"/>
            <rFont val="Tahoma"/>
            <family val="2"/>
          </rPr>
          <t>Laita 0, jos matkoja ei ole.</t>
        </r>
        <r>
          <rPr>
            <sz val="9"/>
            <color indexed="81"/>
            <rFont val="Tahoma"/>
            <family val="2"/>
          </rPr>
          <t xml:space="preserve">
</t>
        </r>
      </text>
    </comment>
    <comment ref="S114" authorId="0" shapeId="0" xr:uid="{00000000-0006-0000-0200-0000CF000000}">
      <text>
        <r>
          <rPr>
            <sz val="10"/>
            <color indexed="81"/>
            <rFont val="Tahoma"/>
            <family val="2"/>
          </rPr>
          <t>Laita 0, jos matkoja ei ole.</t>
        </r>
        <r>
          <rPr>
            <sz val="9"/>
            <color indexed="81"/>
            <rFont val="Tahoma"/>
            <family val="2"/>
          </rPr>
          <t xml:space="preserve">
</t>
        </r>
      </text>
    </comment>
    <comment ref="Z114" authorId="0" shapeId="0" xr:uid="{00000000-0006-0000-0200-0000D0000000}">
      <text>
        <r>
          <rPr>
            <sz val="10"/>
            <color indexed="81"/>
            <rFont val="Tahoma"/>
            <family val="2"/>
          </rPr>
          <t>Laita 0, jos matkoja ei ole.</t>
        </r>
        <r>
          <rPr>
            <sz val="9"/>
            <color indexed="81"/>
            <rFont val="Tahoma"/>
            <family val="2"/>
          </rPr>
          <t xml:space="preserve">
</t>
        </r>
      </text>
    </comment>
    <comment ref="D115" authorId="0" shapeId="0" xr:uid="{00000000-0006-0000-0200-0000D1000000}">
      <text>
        <r>
          <rPr>
            <sz val="10"/>
            <color indexed="81"/>
            <rFont val="Tahoma"/>
            <family val="2"/>
          </rPr>
          <t>Käyttää aiemmin syötettyä polttoaineen kulutusta ja hintaa.</t>
        </r>
      </text>
    </comment>
    <comment ref="K115" authorId="0" shapeId="0" xr:uid="{00000000-0006-0000-0200-0000D2000000}">
      <text>
        <r>
          <rPr>
            <sz val="10"/>
            <color indexed="81"/>
            <rFont val="Tahoma"/>
            <family val="2"/>
          </rPr>
          <t>Käyttää aiemmin syötettyä polttoaineen kulutusta ja hintaa.</t>
        </r>
      </text>
    </comment>
    <comment ref="R115" authorId="0" shapeId="0" xr:uid="{00000000-0006-0000-0200-0000D3000000}">
      <text>
        <r>
          <rPr>
            <sz val="10"/>
            <color indexed="81"/>
            <rFont val="Tahoma"/>
            <family val="2"/>
          </rPr>
          <t>Käyttää aiemmin syötettyä polttoaineen kulutusta ja hintaa.</t>
        </r>
      </text>
    </comment>
    <comment ref="Y115" authorId="0" shapeId="0" xr:uid="{00000000-0006-0000-0200-0000D4000000}">
      <text>
        <r>
          <rPr>
            <sz val="10"/>
            <color indexed="81"/>
            <rFont val="Tahoma"/>
            <family val="2"/>
          </rPr>
          <t>Käyttää aiemmin syötettyä polttoaineen kulutusta ja hintaa.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412jsetala</author>
    <author>412jniukko</author>
    <author>Jari Setälä</author>
    <author>Jari Niukko</author>
  </authors>
  <commentList>
    <comment ref="D4" authorId="0" shapeId="0" xr:uid="{00000000-0006-0000-0300-000001000000}">
      <text>
        <r>
          <rPr>
            <sz val="10"/>
            <color indexed="81"/>
            <rFont val="Tahoma"/>
            <family val="2"/>
          </rPr>
          <t>Merkitse pyydyksen nimi, kopioituu eteenpäin myös kuvien otsakkeeksi.</t>
        </r>
      </text>
    </comment>
    <comment ref="K4" authorId="1" shapeId="0" xr:uid="{00000000-0006-0000-0300-000002000000}">
      <text>
        <r>
          <rPr>
            <sz val="10"/>
            <color indexed="81"/>
            <rFont val="Tahoma"/>
            <family val="2"/>
          </rPr>
          <t>Merkitse pyydyksen nimi. Kopioituu eteenpäin myös kuvien otsakkeeksi.</t>
        </r>
      </text>
    </comment>
    <comment ref="L4" authorId="1" shapeId="0" xr:uid="{00000000-0006-0000-0300-000003000000}">
      <text>
        <r>
          <rPr>
            <sz val="10"/>
            <color indexed="81"/>
            <rFont val="Tahoma"/>
            <family val="2"/>
          </rPr>
          <t>Merkitse kalastuskauden nimi.</t>
        </r>
      </text>
    </comment>
    <comment ref="R4" authorId="1" shapeId="0" xr:uid="{00000000-0006-0000-0300-000004000000}">
      <text>
        <r>
          <rPr>
            <sz val="10"/>
            <color indexed="81"/>
            <rFont val="Tahoma"/>
            <family val="2"/>
          </rPr>
          <t>Merkitse pyydyksen nimi. Kopioituu eteenpäin myös kuvien otsakkeeksi.</t>
        </r>
      </text>
    </comment>
    <comment ref="S4" authorId="1" shapeId="0" xr:uid="{00000000-0006-0000-0300-000005000000}">
      <text>
        <r>
          <rPr>
            <sz val="10"/>
            <color indexed="81"/>
            <rFont val="Tahoma"/>
            <family val="2"/>
          </rPr>
          <t>Merkitse kalastuskauden nimi.</t>
        </r>
      </text>
    </comment>
    <comment ref="G6" authorId="1" shapeId="0" xr:uid="{00000000-0006-0000-0300-000006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N6" authorId="1" shapeId="0" xr:uid="{00000000-0006-0000-0300-000007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U6" authorId="1" shapeId="0" xr:uid="{00000000-0006-0000-0300-000008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E10" authorId="2" shapeId="0" xr:uid="{00000000-0006-0000-0300-000009000000}">
      <text>
        <r>
          <rPr>
            <sz val="10"/>
            <color indexed="81"/>
            <rFont val="Tahoma"/>
            <family val="2"/>
          </rPr>
          <t>Merkitse  pv.kk   
esim. ensimmäinen tammikuuta on 1.1
Tarkasta ylhäällä olevasta kirjoitusosasta, että lopetuspäivämäärään tulee 
sama vuosi.</t>
        </r>
      </text>
    </comment>
    <comment ref="L10" authorId="2" shapeId="0" xr:uid="{00000000-0006-0000-0300-00000A000000}">
      <text>
        <r>
          <rPr>
            <sz val="10"/>
            <color indexed="81"/>
            <rFont val="Tahoma"/>
            <family val="2"/>
          </rPr>
          <t>Merkitse  pv.kk   
esim. ensimmäinen tammikuuta on 1.1
Tarkasta ylhäällä olevasta kirjoitusosasta, että lopetuspäivämäärään tulee 
sama vuosi.</t>
        </r>
      </text>
    </comment>
    <comment ref="S10" authorId="2" shapeId="0" xr:uid="{00000000-0006-0000-0300-00000B000000}">
      <text>
        <r>
          <rPr>
            <sz val="10"/>
            <color indexed="81"/>
            <rFont val="Tahoma"/>
            <family val="2"/>
          </rPr>
          <t>Merkitse  pv.kk   
esim. ensimmäinen tammikuuta on 1.1
Tarkasta ylhäällä olevasta kirjoitusosasta, että lopetuspäivämäärään tulee 
sama vuosi.</t>
        </r>
      </text>
    </comment>
    <comment ref="E11" authorId="2" shapeId="0" xr:uid="{00000000-0006-0000-0300-00000C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11" authorId="2" shapeId="0" xr:uid="{00000000-0006-0000-0300-00000D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S11" authorId="2" shapeId="0" xr:uid="{00000000-0006-0000-0300-00000E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D13" authorId="2" shapeId="0" xr:uid="{00000000-0006-0000-0300-00000F000000}">
      <text>
        <r>
          <rPr>
            <sz val="10"/>
            <color indexed="81"/>
            <rFont val="Tahoma"/>
            <family val="2"/>
          </rPr>
          <t>Matka kalasatamaan tai rantaan, josta lähdetään virittämään rysiä.</t>
        </r>
      </text>
    </comment>
    <comment ref="G15" authorId="0" shapeId="0" xr:uid="{00000000-0006-0000-0300-000010000000}">
      <text>
        <r>
          <rPr>
            <sz val="10"/>
            <color indexed="81"/>
            <rFont val="Tahoma"/>
            <family val="2"/>
          </rPr>
          <t>Osallistuvia henkilöitä mukana autossa. Tietoa tarvitaan tuntipalkkojen laskentaan.</t>
        </r>
        <r>
          <rPr>
            <sz val="9"/>
            <color indexed="81"/>
            <rFont val="Tahoma"/>
            <family val="2"/>
          </rPr>
          <t xml:space="preserve">
</t>
        </r>
      </text>
    </comment>
    <comment ref="E16" authorId="2" shapeId="0" xr:uid="{00000000-0006-0000-0300-000011000000}">
      <text>
        <r>
          <rPr>
            <sz val="10"/>
            <color indexed="81"/>
            <rFont val="Tahoma"/>
            <family val="2"/>
          </rPr>
          <t>Edestakaisen matkan pituus. Esim. työntekijän matka
rantaan lähemmäs pyyntipaikkaa, tukkumatkat merkitään alla erikseen.</t>
        </r>
        <r>
          <rPr>
            <sz val="8"/>
            <color indexed="81"/>
            <rFont val="Tahoma"/>
            <family val="2"/>
          </rPr>
          <t xml:space="preserve">
</t>
        </r>
      </text>
    </comment>
    <comment ref="E17" authorId="2" shapeId="0" xr:uid="{00000000-0006-0000-0300-000012000000}">
      <text>
        <r>
          <rPr>
            <sz val="10"/>
            <color indexed="81"/>
            <rFont val="Tahoma"/>
            <family val="2"/>
          </rPr>
          <t>Esim. työntekijän matka
rantaan lähemmäs pyyntipaikkaa, tukkumatkat merkitään alla erikseen.</t>
        </r>
        <r>
          <rPr>
            <sz val="8"/>
            <color indexed="81"/>
            <rFont val="Tahoma"/>
            <family val="2"/>
          </rPr>
          <t xml:space="preserve">
</t>
        </r>
      </text>
    </comment>
    <comment ref="L17" authorId="2" shapeId="0" xr:uid="{00000000-0006-0000-0300-000013000000}">
      <text>
        <r>
          <rPr>
            <sz val="10"/>
            <color indexed="81"/>
            <rFont val="Tahoma"/>
            <family val="2"/>
          </rPr>
          <t xml:space="preserve">Vajasta pyyntiin viritetyksi. </t>
        </r>
        <r>
          <rPr>
            <sz val="8"/>
            <color indexed="81"/>
            <rFont val="Tahoma"/>
            <family val="2"/>
          </rPr>
          <t xml:space="preserve">
</t>
        </r>
      </text>
    </comment>
    <comment ref="S17" authorId="2" shapeId="0" xr:uid="{00000000-0006-0000-0300-000014000000}">
      <text>
        <r>
          <rPr>
            <sz val="10"/>
            <color indexed="81"/>
            <rFont val="Tahoma"/>
            <family val="2"/>
          </rPr>
          <t>Vajasta pyyntiin viritetyksi.</t>
        </r>
        <r>
          <rPr>
            <sz val="8"/>
            <color indexed="81"/>
            <rFont val="Tahoma"/>
            <family val="2"/>
          </rPr>
          <t xml:space="preserve">
</t>
        </r>
      </text>
    </comment>
    <comment ref="E20" authorId="3" shapeId="0" xr:uid="{00000000-0006-0000-0300-000015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G20" authorId="1" shapeId="0" xr:uid="{00000000-0006-0000-0300-000016000000}">
      <text>
        <r>
          <rPr>
            <sz val="10"/>
            <color indexed="81"/>
            <rFont val="Tahoma"/>
            <family val="2"/>
          </rPr>
          <t>Merkitse:
1  = bensiini
2 = diesel
(kaikki automatkat)</t>
        </r>
        <r>
          <rPr>
            <sz val="9"/>
            <color indexed="81"/>
            <rFont val="Tahoma"/>
            <family val="2"/>
          </rPr>
          <t xml:space="preserve">
</t>
        </r>
      </text>
    </comment>
    <comment ref="L21" authorId="1" shapeId="0" xr:uid="{00000000-0006-0000-0300-000017000000}">
      <text>
        <r>
          <rPr>
            <sz val="10"/>
            <color indexed="81"/>
            <rFont val="Tahoma"/>
            <family val="2"/>
          </rPr>
          <t xml:space="preserve">Sisältää pyyntiin laitot ja satama-matkat (olettaa henkilöiden satamamatka-ajat yhtä pitkiksi). </t>
        </r>
        <r>
          <rPr>
            <sz val="9"/>
            <color indexed="81"/>
            <rFont val="Tahoma"/>
            <family val="2"/>
          </rPr>
          <t xml:space="preserve">
</t>
        </r>
      </text>
    </comment>
    <comment ref="N21" authorId="0" shapeId="0" xr:uid="{00000000-0006-0000-0300-000018000000}">
      <text>
        <r>
          <rPr>
            <sz val="10"/>
            <color indexed="81"/>
            <rFont val="Tahoma"/>
            <family val="2"/>
          </rPr>
          <t>Työkustannukset lasketaan taulukkoon "11. Työtunnit" merkityn tuntipalkan mukaan.</t>
        </r>
      </text>
    </comment>
    <comment ref="S21" authorId="1" shapeId="0" xr:uid="{00000000-0006-0000-0300-000019000000}">
      <text>
        <r>
          <rPr>
            <sz val="10"/>
            <color indexed="81"/>
            <rFont val="Tahoma"/>
            <family val="2"/>
          </rPr>
          <t xml:space="preserve">Sisältää pyyntiin laitot ja satama-matkat (olettaa henkilöiden matka-ajat yhtä pitkiksi). </t>
        </r>
        <r>
          <rPr>
            <sz val="9"/>
            <color indexed="81"/>
            <rFont val="Tahoma"/>
            <family val="2"/>
          </rPr>
          <t xml:space="preserve">
</t>
        </r>
      </text>
    </comment>
    <comment ref="U21" authorId="0" shapeId="0" xr:uid="{00000000-0006-0000-0300-00001A000000}">
      <text>
        <r>
          <rPr>
            <sz val="10"/>
            <color indexed="81"/>
            <rFont val="Tahoma"/>
            <family val="2"/>
          </rPr>
          <t>Työkustannukset lasketaan taulukkoon "11. Työtunnit" merkityn tuntipalkan mukaan.</t>
        </r>
      </text>
    </comment>
    <comment ref="N22" authorId="0" shapeId="0" xr:uid="{00000000-0006-0000-0300-00001B000000}">
      <text>
        <r>
          <rPr>
            <sz val="10"/>
            <color indexed="81"/>
            <rFont val="Tahoma"/>
            <family val="2"/>
          </rPr>
          <t>Laskee polttoainekulutuksen alle täytetyn satama- ja venematkan mukaan (venematkojen kulu virityspäivänä=keskimääräinen kulu yhdellä kalastusmatkalla).</t>
        </r>
      </text>
    </comment>
    <comment ref="U22" authorId="0" shapeId="0" xr:uid="{00000000-0006-0000-0300-00001C000000}">
      <text>
        <r>
          <rPr>
            <sz val="10"/>
            <color indexed="81"/>
            <rFont val="Tahoma"/>
            <family val="2"/>
          </rPr>
          <t>Laskee polttoainekulutuksen alle täytetyn satama- ja venematkan mukaan (venematkojen kulu virityspäivänä=keskimääräinen kulu yhdellä kalastusmatkalla).</t>
        </r>
      </text>
    </comment>
    <comment ref="D24" authorId="0" shapeId="0" xr:uid="{00000000-0006-0000-0300-00001D000000}">
      <text>
        <r>
          <rPr>
            <sz val="10"/>
            <color indexed="81"/>
            <rFont val="Tahoma"/>
            <family val="2"/>
          </rPr>
          <t>Työkustannukset lasketaan taulukkoon "11. Työtunnit" merkityn tuntipalkan mukaan.</t>
        </r>
      </text>
    </comment>
    <comment ref="L24" authorId="2" shapeId="0" xr:uid="{00000000-0006-0000-0300-00001E000000}">
      <text>
        <r>
          <rPr>
            <sz val="10"/>
            <color indexed="81"/>
            <rFont val="Tahoma"/>
            <family val="2"/>
          </rPr>
          <t>Pyynnistä vajaan.</t>
        </r>
      </text>
    </comment>
    <comment ref="S24" authorId="2" shapeId="0" xr:uid="{00000000-0006-0000-0300-00001F000000}">
      <text>
        <r>
          <rPr>
            <sz val="10"/>
            <color indexed="81"/>
            <rFont val="Tahoma"/>
            <family val="2"/>
          </rPr>
          <t>Pyynnistä vajaan.</t>
        </r>
      </text>
    </comment>
    <comment ref="L28" authorId="1" shapeId="0" xr:uid="{00000000-0006-0000-0300-000020000000}">
      <text>
        <r>
          <rPr>
            <sz val="10"/>
            <color indexed="81"/>
            <rFont val="Tahoma"/>
            <family val="2"/>
          </rPr>
          <t xml:space="preserve">Sisältää poistot ja satama-matkat (olettaa henkilöiden matka-ajat yhtä pitkiksi). </t>
        </r>
        <r>
          <rPr>
            <sz val="9"/>
            <color indexed="81"/>
            <rFont val="Tahoma"/>
            <family val="2"/>
          </rPr>
          <t xml:space="preserve">
</t>
        </r>
      </text>
    </comment>
    <comment ref="S28" authorId="1" shapeId="0" xr:uid="{00000000-0006-0000-0300-000021000000}">
      <text>
        <r>
          <rPr>
            <sz val="10"/>
            <color indexed="81"/>
            <rFont val="Tahoma"/>
            <family val="2"/>
          </rPr>
          <t xml:space="preserve">Sisältää poistot ja satama-matkat (olettaa henkilöiden matka-ajat yhtä pitkiksi). </t>
        </r>
        <r>
          <rPr>
            <sz val="9"/>
            <color indexed="81"/>
            <rFont val="Tahoma"/>
            <family val="2"/>
          </rPr>
          <t xml:space="preserve">
</t>
        </r>
      </text>
    </comment>
    <comment ref="E29" authorId="0" shapeId="0" xr:uid="{00000000-0006-0000-0300-000022000000}">
      <text>
        <r>
          <rPr>
            <sz val="10"/>
            <color indexed="81"/>
            <rFont val="Tahoma"/>
            <family val="2"/>
          </rPr>
          <t>Sisältää virityksen ja/tai paalutuksen ja ankkuroinnin, toiminnat voivat myös olla erillisiä matkoja, jolloin venematkojen lukumäärä kasvaa.</t>
        </r>
      </text>
    </comment>
    <comment ref="E30" authorId="1" shapeId="0" xr:uid="{00000000-0006-0000-0300-000023000000}">
      <text>
        <r>
          <rPr>
            <sz val="10"/>
            <color indexed="81"/>
            <rFont val="Tahoma"/>
            <family val="2"/>
          </rPr>
          <t>Käyttää arvoa suoraan myös  rysän poistomatkan polttoaineenkulutuksen laskemisessa.</t>
        </r>
      </text>
    </comment>
    <comment ref="E31" authorId="0" shapeId="0" xr:uid="{00000000-0006-0000-0300-000024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31" authorId="1" shapeId="0" xr:uid="{00000000-0006-0000-0300-000025000000}">
      <text>
        <r>
          <rPr>
            <sz val="10"/>
            <color indexed="81"/>
            <rFont val="Tahoma"/>
            <family val="2"/>
          </rPr>
          <t>Merkitse:
1 = bensiini
2 = polttoöljy</t>
        </r>
        <r>
          <rPr>
            <sz val="9"/>
            <color indexed="81"/>
            <rFont val="Tahoma"/>
            <family val="2"/>
          </rPr>
          <t xml:space="preserve">
</t>
        </r>
        <r>
          <rPr>
            <sz val="10"/>
            <color indexed="81"/>
            <rFont val="Tahoma"/>
            <family val="2"/>
          </rPr>
          <t>(rysän viritys ja poisto)</t>
        </r>
      </text>
    </comment>
    <comment ref="K33" authorId="2" shapeId="0" xr:uid="{00000000-0006-0000-0300-000026000000}">
      <text>
        <r>
          <rPr>
            <sz val="10"/>
            <color indexed="81"/>
            <rFont val="Tahoma"/>
            <family val="2"/>
          </rPr>
          <t>Matka kalasatamaan tai rantaan, josta lähdetään kalaan.</t>
        </r>
      </text>
    </comment>
    <comment ref="R33" authorId="2" shapeId="0" xr:uid="{00000000-0006-0000-0300-000027000000}">
      <text>
        <r>
          <rPr>
            <sz val="10"/>
            <color indexed="81"/>
            <rFont val="Tahoma"/>
            <family val="2"/>
          </rPr>
          <t>Matka kalasatamaan tai rantaan, josta lähdetään kalaan.</t>
        </r>
      </text>
    </comment>
    <comment ref="N35" authorId="0" shapeId="0" xr:uid="{00000000-0006-0000-0300-000028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U35" authorId="0" shapeId="0" xr:uid="{00000000-0006-0000-0300-000029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E36" authorId="2" shapeId="0" xr:uid="{00000000-0006-0000-0300-00002A000000}">
      <text>
        <r>
          <rPr>
            <sz val="10"/>
            <color indexed="81"/>
            <rFont val="Tahoma"/>
            <family val="2"/>
          </rPr>
          <t>Merkitse  pv.kk   
esim. ensimmäinen tammikuuta on 1.1
Tarkasta ylhäällä olevasta kirjoitusosasta, että lopetuspäivämäärään tulee 
sama vuosi.</t>
        </r>
      </text>
    </comment>
    <comment ref="K36" authorId="2" shapeId="0" xr:uid="{00000000-0006-0000-0300-00002B000000}">
      <text>
        <r>
          <rPr>
            <sz val="10"/>
            <color indexed="81"/>
            <rFont val="Tahoma"/>
            <family val="2"/>
          </rPr>
          <t>Edestakaisen matkan pituus. Esim. yrityksen maksama työntekijän matka
rantaan lähemmäs pyyntipaikkaa. Tukkumatkat täytetään erikseen.</t>
        </r>
      </text>
    </comment>
    <comment ref="R36" authorId="2" shapeId="0" xr:uid="{00000000-0006-0000-0300-00002C000000}">
      <text>
        <r>
          <rPr>
            <sz val="10"/>
            <color indexed="81"/>
            <rFont val="Tahoma"/>
            <family val="2"/>
          </rPr>
          <t>Edestakaisen matkan pituus. Esim. yrityksen maksama työntekijän matka
rantaan lähemmäs pyyntipaikkaa. Tukkumatkat täytetään erikseen.</t>
        </r>
      </text>
    </comment>
    <comment ref="E37" authorId="2" shapeId="0" xr:uid="{00000000-0006-0000-0300-00002D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K37" authorId="2" shapeId="0" xr:uid="{00000000-0006-0000-0300-00002E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R37" authorId="2" shapeId="0" xr:uid="{00000000-0006-0000-0300-00002F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L40" authorId="3" shapeId="0" xr:uid="{00000000-0006-0000-0300-000030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N40" authorId="1" shapeId="0" xr:uid="{00000000-0006-0000-0300-000031000000}">
      <text>
        <r>
          <rPr>
            <sz val="10"/>
            <color indexed="81"/>
            <rFont val="Tahoma"/>
            <family val="2"/>
          </rPr>
          <t>Merkitse:
1  = bensiini
2 = diesel
(kaikki automatkat)</t>
        </r>
        <r>
          <rPr>
            <sz val="9"/>
            <color indexed="81"/>
            <rFont val="Tahoma"/>
            <family val="2"/>
          </rPr>
          <t xml:space="preserve">
</t>
        </r>
      </text>
    </comment>
    <comment ref="S40" authorId="3" shapeId="0" xr:uid="{00000000-0006-0000-0300-000032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U40" authorId="1" shapeId="0" xr:uid="{00000000-0006-0000-0300-000033000000}">
      <text>
        <r>
          <rPr>
            <sz val="10"/>
            <color indexed="81"/>
            <rFont val="Tahoma"/>
            <family val="2"/>
          </rPr>
          <t>Merkitse:
1  = bensiini
2 = diesel
(kaikki automatkat)</t>
        </r>
        <r>
          <rPr>
            <sz val="9"/>
            <color indexed="81"/>
            <rFont val="Tahoma"/>
            <family val="2"/>
          </rPr>
          <t xml:space="preserve">
</t>
        </r>
      </text>
    </comment>
    <comment ref="E41" authorId="2" shapeId="0" xr:uid="{00000000-0006-0000-0300-000034000000}">
      <text>
        <r>
          <rPr>
            <sz val="10"/>
            <color indexed="81"/>
            <rFont val="Tahoma"/>
            <family val="2"/>
          </rPr>
          <t xml:space="preserve">Esim. työntekijän matka
omalla autolla yrityksen laskuun.
</t>
        </r>
      </text>
    </comment>
    <comment ref="E42" authorId="2" shapeId="0" xr:uid="{00000000-0006-0000-0300-000035000000}">
      <text>
        <r>
          <rPr>
            <sz val="10"/>
            <color indexed="81"/>
            <rFont val="Tahoma"/>
            <family val="2"/>
          </rPr>
          <t>Esim. työntekijän matka
omalla autolla yrityksen kustannuksella.</t>
        </r>
        <r>
          <rPr>
            <sz val="8"/>
            <color indexed="81"/>
            <rFont val="Tahoma"/>
            <family val="2"/>
          </rPr>
          <t xml:space="preserve">
</t>
        </r>
      </text>
    </comment>
    <comment ref="L47" authorId="2" shapeId="0" xr:uid="{00000000-0006-0000-0300-000036000000}">
      <text>
        <r>
          <rPr>
            <sz val="10"/>
            <color indexed="81"/>
            <rFont val="Tahoma"/>
            <family val="2"/>
          </rPr>
          <t>Koko kalastusmatkaan kulunut aika sisältäen matkojen lisäksi pyydyksen koennan.</t>
        </r>
      </text>
    </comment>
    <comment ref="S47" authorId="2" shapeId="0" xr:uid="{00000000-0006-0000-0300-000037000000}">
      <text>
        <r>
          <rPr>
            <sz val="10"/>
            <color indexed="81"/>
            <rFont val="Tahoma"/>
            <family val="2"/>
          </rPr>
          <t>Koko kalastusmatkaan kulunut aika sisältäen matkojen lisäksi pyydyksen koennan.</t>
        </r>
      </text>
    </comment>
    <comment ref="E49" authorId="0" shapeId="0" xr:uid="{00000000-0006-0000-0300-000038000000}">
      <text>
        <r>
          <rPr>
            <sz val="10"/>
            <color indexed="81"/>
            <rFont val="Tahoma"/>
            <family val="2"/>
          </rPr>
          <t>Sisältää rysän, paalujen ja ankkurien poiston. Jos toiminnot tehdään erillisinä matkoina, lisätään venematkojen lukumäärää ja arvioidaan matkojen keskimääräinen kesto.</t>
        </r>
      </text>
    </comment>
    <comment ref="L49" authorId="0" shapeId="0" xr:uid="{00000000-0006-0000-0300-000039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N49" authorId="1" shapeId="0" xr:uid="{00000000-0006-0000-0300-00003A000000}">
      <text>
        <r>
          <rPr>
            <sz val="10"/>
            <color indexed="81"/>
            <rFont val="Tahoma"/>
            <family val="2"/>
          </rPr>
          <t>Merkitse:
1 = bensiini
2 = polttoöljy</t>
        </r>
        <r>
          <rPr>
            <sz val="9"/>
            <color indexed="81"/>
            <rFont val="Tahoma"/>
            <family val="2"/>
          </rPr>
          <t xml:space="preserve">
</t>
        </r>
        <r>
          <rPr>
            <sz val="10"/>
            <color indexed="81"/>
            <rFont val="Tahoma"/>
            <family val="2"/>
          </rPr>
          <t>(kaikki venematkat)</t>
        </r>
      </text>
    </comment>
    <comment ref="S49" authorId="0" shapeId="0" xr:uid="{00000000-0006-0000-0300-00003B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U49" authorId="1" shapeId="0" xr:uid="{00000000-0006-0000-0300-00003C000000}">
      <text>
        <r>
          <rPr>
            <sz val="10"/>
            <color indexed="81"/>
            <rFont val="Tahoma"/>
            <family val="2"/>
          </rPr>
          <t>Merkitse:
1 = bensiini
2 = polttoöljy</t>
        </r>
        <r>
          <rPr>
            <sz val="9"/>
            <color indexed="81"/>
            <rFont val="Tahoma"/>
            <family val="2"/>
          </rPr>
          <t xml:space="preserve">
</t>
        </r>
        <r>
          <rPr>
            <sz val="10"/>
            <color indexed="81"/>
            <rFont val="Tahoma"/>
            <family val="2"/>
          </rPr>
          <t>(kaikki venematkat)</t>
        </r>
      </text>
    </comment>
    <comment ref="L54" authorId="0" shapeId="0" xr:uid="{00000000-0006-0000-0300-00003D000000}">
      <text>
        <r>
          <rPr>
            <sz val="10"/>
            <color indexed="81"/>
            <rFont val="Tahoma"/>
            <family val="2"/>
          </rPr>
          <t>Laita 0, jos matkoja ei ole.</t>
        </r>
        <r>
          <rPr>
            <sz val="9"/>
            <color indexed="81"/>
            <rFont val="Tahoma"/>
            <family val="2"/>
          </rPr>
          <t xml:space="preserve">
</t>
        </r>
      </text>
    </comment>
    <comment ref="S54" authorId="0" shapeId="0" xr:uid="{00000000-0006-0000-0300-00003E000000}">
      <text>
        <r>
          <rPr>
            <sz val="10"/>
            <color indexed="81"/>
            <rFont val="Tahoma"/>
            <family val="2"/>
          </rPr>
          <t>Laita 0, jos matkoja ei ole.</t>
        </r>
        <r>
          <rPr>
            <sz val="9"/>
            <color indexed="81"/>
            <rFont val="Tahoma"/>
            <family val="2"/>
          </rPr>
          <t xml:space="preserve">
</t>
        </r>
      </text>
    </comment>
    <comment ref="L55" authorId="2" shapeId="0" xr:uid="{00000000-0006-0000-0300-00003F000000}">
      <text>
        <r>
          <rPr>
            <sz val="10"/>
            <color indexed="81"/>
            <rFont val="Tahoma"/>
            <family val="2"/>
          </rPr>
          <t>Koko kalastusmatkaan kulunut aika sisältäen matkojen lisäksi pyydyksen koennan.</t>
        </r>
      </text>
    </comment>
    <comment ref="S55" authorId="2" shapeId="0" xr:uid="{00000000-0006-0000-0300-000040000000}">
      <text>
        <r>
          <rPr>
            <sz val="10"/>
            <color indexed="81"/>
            <rFont val="Tahoma"/>
            <family val="2"/>
          </rPr>
          <t>Koko kalastusmatkaan kulunut aika sisältäen matkojen lisäksi pyydyksen koennan.</t>
        </r>
      </text>
    </comment>
    <comment ref="L57" authorId="3" shapeId="0" xr:uid="{00000000-0006-0000-0300-000041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S57" authorId="3" shapeId="0" xr:uid="{00000000-0006-0000-0300-000042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E58" authorId="2" shapeId="0" xr:uid="{00000000-0006-0000-0300-000043000000}">
      <text>
        <r>
          <rPr>
            <sz val="10"/>
            <color indexed="81"/>
            <rFont val="Tahoma"/>
            <family val="2"/>
          </rPr>
          <t>Merkitse  pv.kk   
esim. ensimmäinen tammikuuta on 1.1
Tarkasta ylhäällä olevasta kirjoitusosasta, että lopetuspäivämäärään tulee 
sama vuosi.</t>
        </r>
      </text>
    </comment>
    <comment ref="E59" authorId="2" shapeId="0" xr:uid="{00000000-0006-0000-0300-000044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63" authorId="2" shapeId="0" xr:uid="{00000000-0006-0000-0300-000045000000}">
      <text>
        <r>
          <rPr>
            <sz val="10"/>
            <color indexed="81"/>
            <rFont val="Tahoma"/>
            <family val="2"/>
          </rPr>
          <t>Merkitse saaliin siirtoihin ja pakkaamiseen menevä aika. Perkaus, fileointi ja mädin talteenotto -työajat lasketaan taulukossa "Kalan alkukäsittely satamassa".</t>
        </r>
      </text>
    </comment>
    <comment ref="S63" authorId="2" shapeId="0" xr:uid="{00000000-0006-0000-0300-000046000000}">
      <text>
        <r>
          <rPr>
            <sz val="10"/>
            <color indexed="81"/>
            <rFont val="Tahoma"/>
            <family val="2"/>
          </rPr>
          <t>Merkitse saaliin siirtoihin ja pakkaamiseen menevä aika. Perkaus, fileointi ja mädin talteenotto -työajat lasketaan taulukossa "Kalan alkukäsittely satamassa".</t>
        </r>
      </text>
    </comment>
    <comment ref="D65" authorId="2" shapeId="0" xr:uid="{00000000-0006-0000-0300-000047000000}">
      <text>
        <r>
          <rPr>
            <sz val="10"/>
            <color indexed="81"/>
            <rFont val="Tahoma"/>
            <family val="2"/>
          </rPr>
          <t>Matka kalasatamaan tai rantaan, mistä lähdetään kalaan.</t>
        </r>
      </text>
    </comment>
    <comment ref="K66" authorId="2" shapeId="0" xr:uid="{00000000-0006-0000-0300-000048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R66" authorId="2" shapeId="0" xr:uid="{00000000-0006-0000-0300-000049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D68" authorId="2" shapeId="0" xr:uid="{00000000-0006-0000-0300-00004A000000}">
      <text>
        <r>
          <rPr>
            <sz val="10"/>
            <color indexed="81"/>
            <rFont val="Tahoma"/>
            <family val="2"/>
          </rPr>
          <t>Edestakaisen matkan pituus. Esim. yrityksen maksama työntekijän matka
rantaan lähemmäs pyyntipaikkaa. Tukkumatkat täytetään erikseen.</t>
        </r>
      </text>
    </comment>
    <comment ref="D69" authorId="2" shapeId="0" xr:uid="{00000000-0006-0000-0300-00004B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L69" authorId="1" shapeId="0" xr:uid="{00000000-0006-0000-0300-00004C000000}">
      <text>
        <r>
          <rPr>
            <sz val="10"/>
            <color indexed="81"/>
            <rFont val="Tahoma"/>
            <family val="2"/>
          </rPr>
          <t>Merkitään saaliin kuljetuksen kotimatkaan aiheuttamat lisäkilometrit.</t>
        </r>
      </text>
    </comment>
    <comment ref="S69" authorId="1" shapeId="0" xr:uid="{00000000-0006-0000-0300-00004D000000}">
      <text>
        <r>
          <rPr>
            <sz val="10"/>
            <color indexed="81"/>
            <rFont val="Tahoma"/>
            <family val="2"/>
          </rPr>
          <t>Merkitään saaliin kuljetuksen kotimatkaan aiheuttamat lisäkilometrit.</t>
        </r>
      </text>
    </comment>
    <comment ref="L70" authorId="1" shapeId="0" xr:uid="{00000000-0006-0000-0300-00004E000000}">
      <text>
        <r>
          <rPr>
            <sz val="10"/>
            <color indexed="81"/>
            <rFont val="Tahoma"/>
            <family val="2"/>
          </rPr>
          <t>Merkitään saaliin kuljetuksen kotimatkaan aiheuttama lisämatka-aika.</t>
        </r>
      </text>
    </comment>
    <comment ref="S70" authorId="1" shapeId="0" xr:uid="{00000000-0006-0000-0300-00004F000000}">
      <text>
        <r>
          <rPr>
            <sz val="10"/>
            <color indexed="81"/>
            <rFont val="Tahoma"/>
            <family val="2"/>
          </rPr>
          <t>Merkitään saaliin kuljetuksen kotimatkaan aiheuttama lisämatka-aika.</t>
        </r>
      </text>
    </comment>
    <comment ref="E71" authorId="3" shapeId="0" xr:uid="{00000000-0006-0000-0300-000050000000}">
      <text>
        <r>
          <rPr>
            <sz val="10"/>
            <color indexed="81"/>
            <rFont val="Tahoma"/>
            <family val="2"/>
          </rPr>
          <t>Aiemmin syötetty kulutus.</t>
        </r>
        <r>
          <rPr>
            <sz val="9"/>
            <color indexed="81"/>
            <rFont val="Tahoma"/>
            <family val="2"/>
          </rPr>
          <t xml:space="preserve">
</t>
        </r>
      </text>
    </comment>
    <comment ref="L71" authorId="0" shapeId="0" xr:uid="{00000000-0006-0000-0300-000051000000}">
      <text>
        <r>
          <rPr>
            <sz val="10"/>
            <color indexed="81"/>
            <rFont val="Tahoma"/>
            <family val="2"/>
          </rPr>
          <t xml:space="preserve">Laita 0, jos matkoja ei ole.
</t>
        </r>
      </text>
    </comment>
    <comment ref="S71" authorId="0" shapeId="0" xr:uid="{00000000-0006-0000-0300-000052000000}">
      <text>
        <r>
          <rPr>
            <sz val="10"/>
            <color indexed="81"/>
            <rFont val="Tahoma"/>
            <family val="2"/>
          </rPr>
          <t xml:space="preserve">Laita 0, jos matkoja ei ole.
</t>
        </r>
      </text>
    </comment>
    <comment ref="E72" authorId="3" shapeId="0" xr:uid="{00000000-0006-0000-0300-000053000000}">
      <text>
        <r>
          <rPr>
            <sz val="10"/>
            <color indexed="81"/>
            <rFont val="Tahoma"/>
            <family val="2"/>
          </rPr>
          <t>Aiemmin syötetty hinta.</t>
        </r>
        <r>
          <rPr>
            <sz val="9"/>
            <color indexed="81"/>
            <rFont val="Tahoma"/>
            <family val="2"/>
          </rPr>
          <t xml:space="preserve">
</t>
        </r>
      </text>
    </comment>
    <comment ref="K72" authorId="0" shapeId="0" xr:uid="{00000000-0006-0000-0300-000054000000}">
      <text>
        <r>
          <rPr>
            <sz val="10"/>
            <color indexed="81"/>
            <rFont val="Tahoma"/>
            <family val="2"/>
          </rPr>
          <t>Käyttää aiemmin syötettyä polttoaineen kulutusta ja hintaa.</t>
        </r>
      </text>
    </comment>
    <comment ref="R72" authorId="0" shapeId="0" xr:uid="{00000000-0006-0000-0300-000055000000}">
      <text>
        <r>
          <rPr>
            <sz val="10"/>
            <color indexed="81"/>
            <rFont val="Tahoma"/>
            <family val="2"/>
          </rPr>
          <t>Käyttää aiemmin syötettyä polttoaineen kulutusta ja hintaa.</t>
        </r>
      </text>
    </comment>
    <comment ref="E79" authorId="2" shapeId="0" xr:uid="{00000000-0006-0000-0300-000056000000}">
      <text>
        <r>
          <rPr>
            <sz val="10"/>
            <color indexed="81"/>
            <rFont val="Tahoma"/>
            <family val="2"/>
          </rPr>
          <t>Koko kalastusmatkaan kulunut aika sisältäen matkojen lisäksi pyydyksen koennan.</t>
        </r>
      </text>
    </comment>
    <comment ref="E81" authorId="0" shapeId="0" xr:uid="{00000000-0006-0000-0300-000057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81" authorId="1" shapeId="0" xr:uid="{00000000-0006-0000-0300-000058000000}">
      <text>
        <r>
          <rPr>
            <sz val="10"/>
            <color indexed="81"/>
            <rFont val="Tahoma"/>
            <family val="2"/>
          </rPr>
          <t>Merkitse:
1 = bensiini
2 = polttoöljy</t>
        </r>
        <r>
          <rPr>
            <sz val="9"/>
            <color indexed="81"/>
            <rFont val="Tahoma"/>
            <family val="2"/>
          </rPr>
          <t xml:space="preserve">
</t>
        </r>
        <r>
          <rPr>
            <sz val="10"/>
            <color indexed="81"/>
            <rFont val="Tahoma"/>
            <family val="2"/>
          </rPr>
          <t>(kalastusmatkat)</t>
        </r>
      </text>
    </comment>
    <comment ref="E90" authorId="2" shapeId="0" xr:uid="{00000000-0006-0000-0300-000059000000}">
      <text>
        <r>
          <rPr>
            <sz val="10"/>
            <color indexed="81"/>
            <rFont val="Tahoma"/>
            <family val="2"/>
          </rPr>
          <t xml:space="preserve">Saaliin perkaukseen, fileointiin ja mädin talteenottoon kuluva aika merkitään taulukkoon "5. Kalan alkukäsittely satamassa".
</t>
        </r>
      </text>
    </comment>
    <comment ref="E91" authorId="3" shapeId="0" xr:uid="{00000000-0006-0000-0300-00005A000000}">
      <text>
        <r>
          <rPr>
            <sz val="10"/>
            <color indexed="81"/>
            <rFont val="Tahoma"/>
            <family val="2"/>
          </rPr>
          <t>Ilman perkausta/fileointia/mädin talteenottoa.</t>
        </r>
        <r>
          <rPr>
            <sz val="9"/>
            <color indexed="81"/>
            <rFont val="Tahoma"/>
            <family val="2"/>
          </rPr>
          <t xml:space="preserve">
</t>
        </r>
      </text>
    </comment>
    <comment ref="E92" authorId="3" shapeId="0" xr:uid="{00000000-0006-0000-0300-00005B000000}">
      <text>
        <r>
          <rPr>
            <sz val="10"/>
            <color indexed="81"/>
            <rFont val="Tahoma"/>
            <family val="2"/>
          </rPr>
          <t>Ilman perkausta/fileointia/mädin talteenottoa.</t>
        </r>
        <r>
          <rPr>
            <sz val="9"/>
            <color indexed="81"/>
            <rFont val="Tahoma"/>
            <family val="2"/>
          </rPr>
          <t xml:space="preserve">
</t>
        </r>
      </text>
    </comment>
    <comment ref="E93" authorId="3" shapeId="0" xr:uid="{00000000-0006-0000-0300-00005C000000}">
      <text>
        <r>
          <rPr>
            <sz val="10"/>
            <color indexed="81"/>
            <rFont val="Tahoma"/>
            <family val="2"/>
          </rPr>
          <t>Ilman perkausta/fileointia/mädin talteenottoa.</t>
        </r>
        <r>
          <rPr>
            <sz val="9"/>
            <color indexed="81"/>
            <rFont val="Tahoma"/>
            <family val="2"/>
          </rPr>
          <t xml:space="preserve">
</t>
        </r>
      </text>
    </comment>
    <comment ref="D94" authorId="2" shapeId="0" xr:uid="{00000000-0006-0000-0300-00005D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E97" authorId="1" shapeId="0" xr:uid="{00000000-0006-0000-0300-00005E000000}">
      <text>
        <r>
          <rPr>
            <sz val="10"/>
            <color indexed="81"/>
            <rFont val="Tahoma"/>
            <family val="2"/>
          </rPr>
          <t>Merkitään saaliin kuljetuksen kotimatkaan aiheuttamat lisäkilometrit.</t>
        </r>
      </text>
    </comment>
    <comment ref="E98" authorId="1" shapeId="0" xr:uid="{00000000-0006-0000-0300-00005F000000}">
      <text>
        <r>
          <rPr>
            <sz val="10"/>
            <color indexed="81"/>
            <rFont val="Tahoma"/>
            <family val="2"/>
          </rPr>
          <t>Merkitään saaliin kuljetuksen kotimatkaan aiheuttama lisämatka-aika.</t>
        </r>
      </text>
    </comment>
    <comment ref="E99" authorId="0" shapeId="0" xr:uid="{00000000-0006-0000-0300-000060000000}">
      <text>
        <r>
          <rPr>
            <sz val="10"/>
            <color indexed="81"/>
            <rFont val="Tahoma"/>
            <family val="2"/>
          </rPr>
          <t>Laita 0, jos matkoja ei ole.</t>
        </r>
        <r>
          <rPr>
            <sz val="9"/>
            <color indexed="81"/>
            <rFont val="Tahoma"/>
            <family val="2"/>
          </rPr>
          <t xml:space="preserve">
</t>
        </r>
      </text>
    </comment>
    <comment ref="D100" authorId="0" shapeId="0" xr:uid="{00000000-0006-0000-0300-000061000000}">
      <text>
        <r>
          <rPr>
            <sz val="10"/>
            <color indexed="81"/>
            <rFont val="Tahoma"/>
            <family val="2"/>
          </rPr>
          <t>Käyttää aiemmin syötettyä polttoaineen kulutusta ja hintaa.</t>
        </r>
      </text>
    </comment>
    <comment ref="D105" authorId="0" shapeId="0" xr:uid="{00000000-0006-0000-0300-000062000000}">
      <text>
        <r>
          <rPr>
            <sz val="10"/>
            <color indexed="81"/>
            <rFont val="Tahoma"/>
            <family val="2"/>
          </rPr>
          <t>Merkitse pyydyksen nimi, kopioituu eteenpäin myös kuvien otsakkeeksi.</t>
        </r>
      </text>
    </comment>
    <comment ref="K105" authorId="1" shapeId="0" xr:uid="{00000000-0006-0000-0300-000063000000}">
      <text>
        <r>
          <rPr>
            <sz val="10"/>
            <color indexed="81"/>
            <rFont val="Tahoma"/>
            <family val="2"/>
          </rPr>
          <t>Merkitse pyydyksen nimi. Kopioituu eteenpäin myös kuvien otsakkeeksi.</t>
        </r>
      </text>
    </comment>
    <comment ref="L105" authorId="1" shapeId="0" xr:uid="{00000000-0006-0000-0300-000064000000}">
      <text>
        <r>
          <rPr>
            <sz val="10"/>
            <color indexed="81"/>
            <rFont val="Tahoma"/>
            <family val="2"/>
          </rPr>
          <t>Merkitse kalastuskauden nimi.</t>
        </r>
      </text>
    </comment>
    <comment ref="R105" authorId="1" shapeId="0" xr:uid="{00000000-0006-0000-0300-000065000000}">
      <text>
        <r>
          <rPr>
            <sz val="10"/>
            <color indexed="81"/>
            <rFont val="Tahoma"/>
            <family val="2"/>
          </rPr>
          <t>Merkitse pyydyksen nimi. Kopioituu eteenpäin myös kuvien otsakkeeksi.</t>
        </r>
      </text>
    </comment>
    <comment ref="S105" authorId="1" shapeId="0" xr:uid="{00000000-0006-0000-0300-000066000000}">
      <text>
        <r>
          <rPr>
            <sz val="10"/>
            <color indexed="81"/>
            <rFont val="Tahoma"/>
            <family val="2"/>
          </rPr>
          <t>Merkitse kalastuskauden nimi.</t>
        </r>
      </text>
    </comment>
    <comment ref="G107" authorId="1" shapeId="0" xr:uid="{00000000-0006-0000-0300-000067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N107" authorId="1" shapeId="0" xr:uid="{00000000-0006-0000-0300-000068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U107" authorId="1" shapeId="0" xr:uid="{00000000-0006-0000-0300-000069000000}">
      <text>
        <r>
          <rPr>
            <sz val="10"/>
            <color indexed="81"/>
            <rFont val="Tahoma"/>
            <family val="2"/>
          </rPr>
          <t>Pyydysten määräksi merkitään 0, jos mallia ei käytetä, tällöin merkittyjen tietojen mukaiset tulokset muuttuvat nollaksi eivätkä siirry eteenpäin.</t>
        </r>
        <r>
          <rPr>
            <sz val="9"/>
            <color indexed="81"/>
            <rFont val="Tahoma"/>
            <family val="2"/>
          </rPr>
          <t xml:space="preserve">
</t>
        </r>
      </text>
    </comment>
    <comment ref="E111" authorId="2" shapeId="0" xr:uid="{00000000-0006-0000-0300-00006A000000}">
      <text>
        <r>
          <rPr>
            <sz val="10"/>
            <color indexed="81"/>
            <rFont val="Tahoma"/>
            <family val="2"/>
          </rPr>
          <t>Merkitse  pv.kk   
esim. ensimmäinen tammikuuta on 1.1
Tarkasta ylhäällä olevasta kirjoitusosasta, että lopetuspäivämäärään tulee 
sama vuosi.</t>
        </r>
      </text>
    </comment>
    <comment ref="L111" authorId="2" shapeId="0" xr:uid="{00000000-0006-0000-0300-00006B000000}">
      <text>
        <r>
          <rPr>
            <sz val="10"/>
            <color indexed="81"/>
            <rFont val="Tahoma"/>
            <family val="2"/>
          </rPr>
          <t>Merkitse  pv.kk   
esim. ensimmäinen tammikuuta on 1.1
Tarkasta ylhäällä olevasta kirjoitusosasta, että lopetuspäivämäärään tulee 
sama vuosi.</t>
        </r>
      </text>
    </comment>
    <comment ref="S111" authorId="2" shapeId="0" xr:uid="{00000000-0006-0000-0300-00006C000000}">
      <text>
        <r>
          <rPr>
            <sz val="10"/>
            <color indexed="81"/>
            <rFont val="Tahoma"/>
            <family val="2"/>
          </rPr>
          <t>Merkitse  pv.kk   
esim. ensimmäinen tammikuuta on 1.1
Tarkasta ylhäällä olevasta kirjoitusosasta, että lopetuspäivämäärään tulee 
sama vuosi.</t>
        </r>
      </text>
    </comment>
    <comment ref="E112" authorId="2" shapeId="0" xr:uid="{00000000-0006-0000-0300-00006D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112" authorId="2" shapeId="0" xr:uid="{00000000-0006-0000-0300-00006E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S112" authorId="2" shapeId="0" xr:uid="{00000000-0006-0000-0300-00006F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D114" authorId="2" shapeId="0" xr:uid="{00000000-0006-0000-0300-000070000000}">
      <text>
        <r>
          <rPr>
            <sz val="10"/>
            <color indexed="81"/>
            <rFont val="Tahoma"/>
            <family val="2"/>
          </rPr>
          <t>Matka kalasatamaan tai rantaan, josta lähdetään virittämään rysiä.</t>
        </r>
      </text>
    </comment>
    <comment ref="G116" authorId="0" shapeId="0" xr:uid="{00000000-0006-0000-0300-000071000000}">
      <text>
        <r>
          <rPr>
            <sz val="10"/>
            <color indexed="81"/>
            <rFont val="Tahoma"/>
            <family val="2"/>
          </rPr>
          <t>Osallistuvia henkilöitä mukana autossa. Tietoa tarvitaan tuntipalkkojen laskentaan.</t>
        </r>
        <r>
          <rPr>
            <sz val="9"/>
            <color indexed="81"/>
            <rFont val="Tahoma"/>
            <family val="2"/>
          </rPr>
          <t xml:space="preserve">
</t>
        </r>
      </text>
    </comment>
    <comment ref="E117" authorId="2" shapeId="0" xr:uid="{00000000-0006-0000-0300-000072000000}">
      <text>
        <r>
          <rPr>
            <sz val="10"/>
            <color indexed="81"/>
            <rFont val="Tahoma"/>
            <family val="2"/>
          </rPr>
          <t>Edestakaisen matkan pituus. Esim. työntekijän matka
rantaan lähemmäs pyyntipaikkaa, tukkumatkat merkitään alla erikseen.</t>
        </r>
        <r>
          <rPr>
            <sz val="8"/>
            <color indexed="81"/>
            <rFont val="Tahoma"/>
            <family val="2"/>
          </rPr>
          <t xml:space="preserve">
</t>
        </r>
      </text>
    </comment>
    <comment ref="E118" authorId="2" shapeId="0" xr:uid="{00000000-0006-0000-0300-000073000000}">
      <text>
        <r>
          <rPr>
            <sz val="10"/>
            <color indexed="81"/>
            <rFont val="Tahoma"/>
            <family val="2"/>
          </rPr>
          <t>Esim. työntekijän matka
rantaan lähemmäs pyyntipaikkaa, tukkumatkat merkitään alla erikseen.</t>
        </r>
        <r>
          <rPr>
            <sz val="8"/>
            <color indexed="81"/>
            <rFont val="Tahoma"/>
            <family val="2"/>
          </rPr>
          <t xml:space="preserve">
</t>
        </r>
      </text>
    </comment>
    <comment ref="L118" authorId="2" shapeId="0" xr:uid="{00000000-0006-0000-0300-000074000000}">
      <text>
        <r>
          <rPr>
            <sz val="10"/>
            <color indexed="81"/>
            <rFont val="Tahoma"/>
            <family val="2"/>
          </rPr>
          <t>Vajasta pyyntiin viritetyksi.</t>
        </r>
        <r>
          <rPr>
            <sz val="8"/>
            <color indexed="81"/>
            <rFont val="Tahoma"/>
            <family val="2"/>
          </rPr>
          <t xml:space="preserve">
</t>
        </r>
      </text>
    </comment>
    <comment ref="S118" authorId="2" shapeId="0" xr:uid="{00000000-0006-0000-0300-000075000000}">
      <text>
        <r>
          <rPr>
            <sz val="10"/>
            <color indexed="81"/>
            <rFont val="Tahoma"/>
            <family val="2"/>
          </rPr>
          <t>Vajasta pyyntiin viritetyksi.</t>
        </r>
        <r>
          <rPr>
            <sz val="8"/>
            <color indexed="81"/>
            <rFont val="Tahoma"/>
            <family val="2"/>
          </rPr>
          <t xml:space="preserve">
</t>
        </r>
      </text>
    </comment>
    <comment ref="E121" authorId="3" shapeId="0" xr:uid="{00000000-0006-0000-0300-000076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G121" authorId="1" shapeId="0" xr:uid="{00000000-0006-0000-0300-000077000000}">
      <text>
        <r>
          <rPr>
            <sz val="10"/>
            <color indexed="81"/>
            <rFont val="Tahoma"/>
            <family val="2"/>
          </rPr>
          <t>Merkitse:
1  = bensiini
2 = diesel
(kaikki automatkat)</t>
        </r>
        <r>
          <rPr>
            <sz val="9"/>
            <color indexed="81"/>
            <rFont val="Tahoma"/>
            <family val="2"/>
          </rPr>
          <t xml:space="preserve">
</t>
        </r>
      </text>
    </comment>
    <comment ref="L122" authorId="1" shapeId="0" xr:uid="{00000000-0006-0000-0300-000078000000}">
      <text>
        <r>
          <rPr>
            <sz val="10"/>
            <color indexed="81"/>
            <rFont val="Tahoma"/>
            <family val="2"/>
          </rPr>
          <t xml:space="preserve">Sisältää pyyntiin laitot ja satama-matkat (olettaa henkilöiden matka-ajat yhtä pitkiksi). </t>
        </r>
        <r>
          <rPr>
            <sz val="9"/>
            <color indexed="81"/>
            <rFont val="Tahoma"/>
            <family val="2"/>
          </rPr>
          <t xml:space="preserve">
</t>
        </r>
      </text>
    </comment>
    <comment ref="S122" authorId="1" shapeId="0" xr:uid="{00000000-0006-0000-0300-000079000000}">
      <text>
        <r>
          <rPr>
            <sz val="10"/>
            <color indexed="81"/>
            <rFont val="Tahoma"/>
            <family val="2"/>
          </rPr>
          <t xml:space="preserve">Sisältää pyyntiin laitot ja satama-matkat (olettaa henkilöiden matka-ajat yhtä pitkiksi). </t>
        </r>
        <r>
          <rPr>
            <sz val="9"/>
            <color indexed="81"/>
            <rFont val="Tahoma"/>
            <family val="2"/>
          </rPr>
          <t xml:space="preserve">
</t>
        </r>
      </text>
    </comment>
    <comment ref="N123" authorId="0" shapeId="0" xr:uid="{00000000-0006-0000-0300-00007A000000}">
      <text>
        <r>
          <rPr>
            <sz val="10"/>
            <color indexed="81"/>
            <rFont val="Tahoma"/>
            <family val="2"/>
          </rPr>
          <t>Laskee polttoainekulutuksen alle täytetyn satama- ja venematkan mukaan (venematkojen kulu virityspäivänä=keskimääräinen kulu yhdellä kalastusmatkalla).</t>
        </r>
      </text>
    </comment>
    <comment ref="U123" authorId="0" shapeId="0" xr:uid="{00000000-0006-0000-0300-00007B000000}">
      <text>
        <r>
          <rPr>
            <sz val="10"/>
            <color indexed="81"/>
            <rFont val="Tahoma"/>
            <family val="2"/>
          </rPr>
          <t>Laskee polttoainekulutuksen alle täytetyn satama- ja venematkan mukaan (venematkojen kulu virityspäivänä=keskimääräinen kulu yhdellä kalastusmatkalla).</t>
        </r>
      </text>
    </comment>
    <comment ref="L125" authorId="2" shapeId="0" xr:uid="{00000000-0006-0000-0300-00007C000000}">
      <text>
        <r>
          <rPr>
            <sz val="10"/>
            <color indexed="81"/>
            <rFont val="Tahoma"/>
            <family val="2"/>
          </rPr>
          <t>Pyynnistä vajaan.</t>
        </r>
      </text>
    </comment>
    <comment ref="S125" authorId="2" shapeId="0" xr:uid="{00000000-0006-0000-0300-00007D000000}">
      <text>
        <r>
          <rPr>
            <sz val="10"/>
            <color indexed="81"/>
            <rFont val="Tahoma"/>
            <family val="2"/>
          </rPr>
          <t>Pyynnistä vajaan.</t>
        </r>
      </text>
    </comment>
    <comment ref="L129" authorId="1" shapeId="0" xr:uid="{00000000-0006-0000-0300-00007E000000}">
      <text>
        <r>
          <rPr>
            <sz val="10"/>
            <color indexed="81"/>
            <rFont val="Tahoma"/>
            <family val="2"/>
          </rPr>
          <t xml:space="preserve">Sisältää poistot ja satama-matkat (olettaa henkilöiden matka-ajat yhtä pitkiksi). </t>
        </r>
        <r>
          <rPr>
            <sz val="9"/>
            <color indexed="81"/>
            <rFont val="Tahoma"/>
            <family val="2"/>
          </rPr>
          <t xml:space="preserve">
</t>
        </r>
      </text>
    </comment>
    <comment ref="S129" authorId="1" shapeId="0" xr:uid="{00000000-0006-0000-0300-00007F000000}">
      <text>
        <r>
          <rPr>
            <sz val="10"/>
            <color indexed="81"/>
            <rFont val="Tahoma"/>
            <family val="2"/>
          </rPr>
          <t xml:space="preserve">Sisältää poistot ja satama-matkat (olettaa henkilöiden matka-ajat yhtä pitkiksi). </t>
        </r>
        <r>
          <rPr>
            <sz val="9"/>
            <color indexed="81"/>
            <rFont val="Tahoma"/>
            <family val="2"/>
          </rPr>
          <t xml:space="preserve">
</t>
        </r>
      </text>
    </comment>
    <comment ref="E130" authorId="0" shapeId="0" xr:uid="{00000000-0006-0000-0300-000080000000}">
      <text>
        <r>
          <rPr>
            <sz val="10"/>
            <color indexed="81"/>
            <rFont val="Tahoma"/>
            <family val="2"/>
          </rPr>
          <t>Sisältää virityksen ja/tai paalutuksen ja ankkuroinnin, toiminnat voivat myös olla erillisiä matkoja, jolloin venematkojen lukumäärä kasvaa.</t>
        </r>
      </text>
    </comment>
    <comment ref="E131" authorId="1" shapeId="0" xr:uid="{00000000-0006-0000-0300-000081000000}">
      <text>
        <r>
          <rPr>
            <sz val="10"/>
            <color indexed="81"/>
            <rFont val="Tahoma"/>
            <family val="2"/>
          </rPr>
          <t>Käyttää arvoa suoraan myös  rysän poistomatkan polttoaineenkulutuksen laskemisessa.</t>
        </r>
      </text>
    </comment>
    <comment ref="E132" authorId="0" shapeId="0" xr:uid="{00000000-0006-0000-0300-000082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132" authorId="1" shapeId="0" xr:uid="{00000000-0006-0000-0300-000083000000}">
      <text>
        <r>
          <rPr>
            <sz val="10"/>
            <color indexed="81"/>
            <rFont val="Tahoma"/>
            <family val="2"/>
          </rPr>
          <t>Merkitse:
1 = bensiini
2 = polttoöljy</t>
        </r>
        <r>
          <rPr>
            <sz val="9"/>
            <color indexed="81"/>
            <rFont val="Tahoma"/>
            <family val="2"/>
          </rPr>
          <t xml:space="preserve">
</t>
        </r>
        <r>
          <rPr>
            <sz val="10"/>
            <color indexed="81"/>
            <rFont val="Tahoma"/>
            <family val="2"/>
          </rPr>
          <t>(rysän viritys ja poisto)</t>
        </r>
      </text>
    </comment>
    <comment ref="K134" authorId="2" shapeId="0" xr:uid="{00000000-0006-0000-0300-000084000000}">
      <text>
        <r>
          <rPr>
            <sz val="10"/>
            <color indexed="81"/>
            <rFont val="Tahoma"/>
            <family val="2"/>
          </rPr>
          <t>Matka kalasatamaan tai rantaan, josta lähdetään kalaan.</t>
        </r>
      </text>
    </comment>
    <comment ref="R134" authorId="2" shapeId="0" xr:uid="{00000000-0006-0000-0300-000085000000}">
      <text>
        <r>
          <rPr>
            <sz val="10"/>
            <color indexed="81"/>
            <rFont val="Tahoma"/>
            <family val="2"/>
          </rPr>
          <t>Matka kalasatamaan tai rantaan, josta lähdetään kalaan.</t>
        </r>
      </text>
    </comment>
    <comment ref="N136" authorId="0" shapeId="0" xr:uid="{00000000-0006-0000-0300-000086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U136" authorId="0" shapeId="0" xr:uid="{00000000-0006-0000-0300-000087000000}">
      <text>
        <r>
          <rPr>
            <sz val="10"/>
            <color indexed="81"/>
            <rFont val="Tahoma"/>
            <family val="2"/>
          </rPr>
          <t>Kalastukseen osallistuvia henkilöitä mukana autossa, tietoa tarvitaan tuntipalkkojen laskentaan.</t>
        </r>
        <r>
          <rPr>
            <sz val="9"/>
            <color indexed="81"/>
            <rFont val="Tahoma"/>
            <family val="2"/>
          </rPr>
          <t xml:space="preserve">
</t>
        </r>
      </text>
    </comment>
    <comment ref="E137" authorId="2" shapeId="0" xr:uid="{00000000-0006-0000-0300-000088000000}">
      <text>
        <r>
          <rPr>
            <sz val="10"/>
            <color indexed="81"/>
            <rFont val="Tahoma"/>
            <family val="2"/>
          </rPr>
          <t>Merkitse  pv.kk   
esim. ensimmäinen tammikuuta on 1.1
Tarkasta ylhäällä olevasta kirjoitusosasta, että lopetuspäivämäärään tulee 
sama vuosi.</t>
        </r>
      </text>
    </comment>
    <comment ref="K137" authorId="2" shapeId="0" xr:uid="{00000000-0006-0000-0300-000089000000}">
      <text>
        <r>
          <rPr>
            <sz val="10"/>
            <color indexed="81"/>
            <rFont val="Tahoma"/>
            <family val="2"/>
          </rPr>
          <t>Edestakaisen matkan pituus. Esim. yrityksen maksama työntekijän matka
rantaan lähemmäs pyyntipaikkaa. Tukkumatkat täytetään erikseen.</t>
        </r>
      </text>
    </comment>
    <comment ref="R137" authorId="2" shapeId="0" xr:uid="{00000000-0006-0000-0300-00008A000000}">
      <text>
        <r>
          <rPr>
            <sz val="10"/>
            <color indexed="81"/>
            <rFont val="Tahoma"/>
            <family val="2"/>
          </rPr>
          <t>Edestakaisen matkan pituus. Esim. yrityksen maksama työntekijän matka
rantaan lähemmäs pyyntipaikkaa. Tukkumatkat täytetään erikseen.</t>
        </r>
      </text>
    </comment>
    <comment ref="E138" authorId="2" shapeId="0" xr:uid="{00000000-0006-0000-0300-00008B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K138" authorId="2" shapeId="0" xr:uid="{00000000-0006-0000-0300-00008C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R138" authorId="2" shapeId="0" xr:uid="{00000000-0006-0000-0300-00008D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L141" authorId="3" shapeId="0" xr:uid="{00000000-0006-0000-0300-00008E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N141" authorId="1" shapeId="0" xr:uid="{00000000-0006-0000-0300-00008F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S141" authorId="3" shapeId="0" xr:uid="{00000000-0006-0000-0300-000090000000}">
      <text>
        <r>
          <rPr>
            <sz val="10"/>
            <color indexed="81"/>
            <rFont val="Tahoma"/>
            <family val="2"/>
          </rPr>
          <t xml:space="preserve">Hinta tulee suoraan, kun käytettävä polttoaine merkitään vieressä olevaan kohtaan. Hinta on ilman alv, jos yleinen alv % on merkittynä taulukossa "10. Verot". Polttoaineen myyntihinta (=sis. alv)  merkitään taulukkoon "10. Verot". </t>
        </r>
        <r>
          <rPr>
            <sz val="9"/>
            <color indexed="81"/>
            <rFont val="Tahoma"/>
            <family val="2"/>
          </rPr>
          <t xml:space="preserve">
</t>
        </r>
      </text>
    </comment>
    <comment ref="U141" authorId="1" shapeId="0" xr:uid="{00000000-0006-0000-0300-000091000000}">
      <text>
        <r>
          <rPr>
            <sz val="10"/>
            <color indexed="81"/>
            <rFont val="Tahoma"/>
            <family val="2"/>
          </rPr>
          <t>Merkitse:
1  = bensiini
2 = diesel</t>
        </r>
        <r>
          <rPr>
            <sz val="9"/>
            <color indexed="81"/>
            <rFont val="Tahoma"/>
            <family val="2"/>
          </rPr>
          <t xml:space="preserve">
</t>
        </r>
        <r>
          <rPr>
            <sz val="10"/>
            <color indexed="81"/>
            <rFont val="Tahoma"/>
            <family val="2"/>
          </rPr>
          <t>(kaikki automatkat)</t>
        </r>
      </text>
    </comment>
    <comment ref="E142" authorId="2" shapeId="0" xr:uid="{00000000-0006-0000-0300-000092000000}">
      <text>
        <r>
          <rPr>
            <sz val="10"/>
            <color indexed="81"/>
            <rFont val="Tahoma"/>
            <family val="2"/>
          </rPr>
          <t xml:space="preserve">Esim. työntekijän matka
omalla autolla yrityksen laskuun.
</t>
        </r>
      </text>
    </comment>
    <comment ref="E143" authorId="2" shapeId="0" xr:uid="{00000000-0006-0000-0300-000093000000}">
      <text>
        <r>
          <rPr>
            <sz val="10"/>
            <color indexed="81"/>
            <rFont val="Tahoma"/>
            <family val="2"/>
          </rPr>
          <t>Esim. työntekijän matka
omalla autolla yrityksen kustannuksella.</t>
        </r>
        <r>
          <rPr>
            <sz val="8"/>
            <color indexed="81"/>
            <rFont val="Tahoma"/>
            <family val="2"/>
          </rPr>
          <t xml:space="preserve">
</t>
        </r>
      </text>
    </comment>
    <comment ref="L148" authorId="2" shapeId="0" xr:uid="{00000000-0006-0000-0300-000094000000}">
      <text>
        <r>
          <rPr>
            <sz val="10"/>
            <color indexed="81"/>
            <rFont val="Tahoma"/>
            <family val="2"/>
          </rPr>
          <t>Koko kalastusmatkaan kulunut aika sisältäen matkojen lisäksi pyydyksen koennan.</t>
        </r>
      </text>
    </comment>
    <comment ref="S148" authorId="2" shapeId="0" xr:uid="{00000000-0006-0000-0300-000095000000}">
      <text>
        <r>
          <rPr>
            <sz val="10"/>
            <color indexed="81"/>
            <rFont val="Tahoma"/>
            <family val="2"/>
          </rPr>
          <t>Koko kalastusmatkaan kulunut aika sisältäen matkojen lisäksi pyydyksen koennan.</t>
        </r>
      </text>
    </comment>
    <comment ref="E150" authorId="0" shapeId="0" xr:uid="{00000000-0006-0000-0300-000096000000}">
      <text>
        <r>
          <rPr>
            <sz val="10"/>
            <color indexed="81"/>
            <rFont val="Tahoma"/>
            <family val="2"/>
          </rPr>
          <t>Sisältää rysän, paalujen ja ankkurien poiston. Jos toiminnot tehdään erillisinä matkoina, lisätään venematkojen lukumäärää ja arvioidaan matkojen keskimääräinen kesto.</t>
        </r>
      </text>
    </comment>
    <comment ref="L150" authorId="0" shapeId="0" xr:uid="{00000000-0006-0000-0300-000097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N150" authorId="1" shapeId="0" xr:uid="{00000000-0006-0000-0300-000098000000}">
      <text>
        <r>
          <rPr>
            <sz val="10"/>
            <color indexed="81"/>
            <rFont val="Tahoma"/>
            <family val="2"/>
          </rPr>
          <t>Merkitse:
1 = bensiini
2 = polttoöljy</t>
        </r>
        <r>
          <rPr>
            <sz val="9"/>
            <color indexed="81"/>
            <rFont val="Tahoma"/>
            <family val="2"/>
          </rPr>
          <t xml:space="preserve">
</t>
        </r>
        <r>
          <rPr>
            <sz val="10"/>
            <color indexed="81"/>
            <rFont val="Tahoma"/>
            <family val="2"/>
          </rPr>
          <t>(kaikki venematkat)</t>
        </r>
      </text>
    </comment>
    <comment ref="S150" authorId="0" shapeId="0" xr:uid="{00000000-0006-0000-0300-000099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U150" authorId="1" shapeId="0" xr:uid="{00000000-0006-0000-0300-00009A000000}">
      <text>
        <r>
          <rPr>
            <sz val="10"/>
            <color indexed="81"/>
            <rFont val="Tahoma"/>
            <family val="2"/>
          </rPr>
          <t>Merkitse:
1 = bensiini
2 = polttoöljy</t>
        </r>
        <r>
          <rPr>
            <sz val="9"/>
            <color indexed="81"/>
            <rFont val="Tahoma"/>
            <family val="2"/>
          </rPr>
          <t xml:space="preserve">
</t>
        </r>
        <r>
          <rPr>
            <sz val="10"/>
            <color indexed="81"/>
            <rFont val="Tahoma"/>
            <family val="2"/>
          </rPr>
          <t>(kaikki venematkat)</t>
        </r>
      </text>
    </comment>
    <comment ref="L155" authorId="0" shapeId="0" xr:uid="{00000000-0006-0000-0300-00009B000000}">
      <text>
        <r>
          <rPr>
            <sz val="10"/>
            <color indexed="81"/>
            <rFont val="Tahoma"/>
            <family val="2"/>
          </rPr>
          <t>Laita 0, jos matkoja ei ole.</t>
        </r>
        <r>
          <rPr>
            <sz val="9"/>
            <color indexed="81"/>
            <rFont val="Tahoma"/>
            <family val="2"/>
          </rPr>
          <t xml:space="preserve">
</t>
        </r>
      </text>
    </comment>
    <comment ref="S155" authorId="0" shapeId="0" xr:uid="{00000000-0006-0000-0300-00009C000000}">
      <text>
        <r>
          <rPr>
            <sz val="10"/>
            <color indexed="81"/>
            <rFont val="Tahoma"/>
            <family val="2"/>
          </rPr>
          <t>Laita 0, jos matkoja ei ole.</t>
        </r>
        <r>
          <rPr>
            <sz val="9"/>
            <color indexed="81"/>
            <rFont val="Tahoma"/>
            <family val="2"/>
          </rPr>
          <t xml:space="preserve">
</t>
        </r>
      </text>
    </comment>
    <comment ref="L156" authorId="2" shapeId="0" xr:uid="{00000000-0006-0000-0300-00009D000000}">
      <text>
        <r>
          <rPr>
            <sz val="10"/>
            <color indexed="81"/>
            <rFont val="Tahoma"/>
            <family val="2"/>
          </rPr>
          <t>Koko kalastusmatkaan kulunut aika sisältäen matkojen lisäksi pyydyksen koennan.</t>
        </r>
      </text>
    </comment>
    <comment ref="S156" authorId="2" shapeId="0" xr:uid="{00000000-0006-0000-0300-00009E000000}">
      <text>
        <r>
          <rPr>
            <sz val="10"/>
            <color indexed="81"/>
            <rFont val="Tahoma"/>
            <family val="2"/>
          </rPr>
          <t>Koko kalastusmatkaan kulunut aika sisältäen matkojen lisäksi pyydyksen koennan.</t>
        </r>
      </text>
    </comment>
    <comment ref="L158" authorId="3" shapeId="0" xr:uid="{00000000-0006-0000-0300-00009F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S158" authorId="3" shapeId="0" xr:uid="{00000000-0006-0000-0300-0000A0000000}">
      <text>
        <r>
          <rPr>
            <sz val="10"/>
            <color indexed="81"/>
            <rFont val="Tahoma"/>
            <family val="2"/>
          </rPr>
          <t xml:space="preserve">Oletetaan käyttävän bensiiniä. Hinta on ilman alv, kun yleinen alv % on merkitty taulukossa "10. Verot". Bensiinin myyntihinta (=sis. alv) tulee olla merkittynä taulukossa "10. Verot". </t>
        </r>
        <r>
          <rPr>
            <sz val="9"/>
            <color indexed="81"/>
            <rFont val="Tahoma"/>
            <family val="2"/>
          </rPr>
          <t xml:space="preserve">
</t>
        </r>
      </text>
    </comment>
    <comment ref="E159" authorId="2" shapeId="0" xr:uid="{00000000-0006-0000-0300-0000A1000000}">
      <text>
        <r>
          <rPr>
            <sz val="10"/>
            <color indexed="81"/>
            <rFont val="Tahoma"/>
            <family val="2"/>
          </rPr>
          <t>Merkitse  pv.kk   
esim. ensimmäinen tammikuuta on 1.1
Tarkasta ylhäällä olevasta kirjoitusosasta, että lopetuspäivämäärään tulee 
sama vuosi.</t>
        </r>
      </text>
    </comment>
    <comment ref="E160" authorId="2" shapeId="0" xr:uid="{00000000-0006-0000-0300-0000A2000000}">
      <text>
        <r>
          <rPr>
            <sz val="10"/>
            <color indexed="81"/>
            <rFont val="Tahoma"/>
            <family val="2"/>
          </rPr>
          <t>Merkitse pv.kk eli viimeinen helmikuuta on 28.2
Tarkasta ylhäällä olevasta kirjoitusosasta, että aloituspäivämäärässä on sama vuosi kuin lopetuspäivämäärässä, jotta kauden pituus lasketaan oikein.</t>
        </r>
        <r>
          <rPr>
            <sz val="8"/>
            <color indexed="81"/>
            <rFont val="Tahoma"/>
            <family val="2"/>
          </rPr>
          <t xml:space="preserve">
</t>
        </r>
      </text>
    </comment>
    <comment ref="L164" authorId="2" shapeId="0" xr:uid="{00000000-0006-0000-0300-0000A3000000}">
      <text>
        <r>
          <rPr>
            <sz val="10"/>
            <color indexed="81"/>
            <rFont val="Tahoma"/>
            <family val="2"/>
          </rPr>
          <t>Merkitse saaliin siirtoihin ja pakkaamiseen menevä aika. Perkaus, fileointi ja mädin talteenotto -työajat lasketaan taulukossa "Kalan alkukäsittely satamassa".</t>
        </r>
      </text>
    </comment>
    <comment ref="S164" authorId="2" shapeId="0" xr:uid="{00000000-0006-0000-0300-0000A4000000}">
      <text>
        <r>
          <rPr>
            <sz val="10"/>
            <color indexed="81"/>
            <rFont val="Tahoma"/>
            <family val="2"/>
          </rPr>
          <t>Merkitse saaliin siirtoihin ja pakkaamiseen menevä aika. Perkaus, fileointi ja mädin talteenotto -työajat lasketaan taulukossa "Kalan alkukäsittely satamassa".</t>
        </r>
      </text>
    </comment>
    <comment ref="D166" authorId="2" shapeId="0" xr:uid="{00000000-0006-0000-0300-0000A5000000}">
      <text>
        <r>
          <rPr>
            <sz val="10"/>
            <color indexed="81"/>
            <rFont val="Tahoma"/>
            <family val="2"/>
          </rPr>
          <t>Matka kalasatamaan tai rantaan, mistä lähdetään kalaan.</t>
        </r>
      </text>
    </comment>
    <comment ref="K167" authorId="2" shapeId="0" xr:uid="{00000000-0006-0000-0300-0000A6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R167" authorId="2" shapeId="0" xr:uid="{00000000-0006-0000-0300-0000A7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D169" authorId="2" shapeId="0" xr:uid="{00000000-0006-0000-0300-0000A8000000}">
      <text>
        <r>
          <rPr>
            <sz val="10"/>
            <color indexed="81"/>
            <rFont val="Tahoma"/>
            <family val="2"/>
          </rPr>
          <t>Edestakaisen matkan pituus. Esim. yrityksen maksama työntekijän matka
rantaan lähemmäs pyyntipaikkaa. Tukkumatkat täytetään erikseen.</t>
        </r>
      </text>
    </comment>
    <comment ref="D170" authorId="2" shapeId="0" xr:uid="{00000000-0006-0000-0300-0000A9000000}">
      <text>
        <r>
          <rPr>
            <sz val="10"/>
            <color indexed="81"/>
            <rFont val="Tahoma"/>
            <family val="2"/>
          </rPr>
          <t>Esim. yrityksen maksama työntekijän matka
rantaan lähemmäs pyyntipaikkaa, tukkumatkat kysytään erikseen.</t>
        </r>
        <r>
          <rPr>
            <sz val="9"/>
            <color indexed="81"/>
            <rFont val="Tahoma"/>
            <family val="2"/>
          </rPr>
          <t xml:space="preserve">
</t>
        </r>
      </text>
    </comment>
    <comment ref="L170" authorId="1" shapeId="0" xr:uid="{00000000-0006-0000-0300-0000AA000000}">
      <text>
        <r>
          <rPr>
            <sz val="10"/>
            <color indexed="81"/>
            <rFont val="Tahoma"/>
            <family val="2"/>
          </rPr>
          <t>Merkitään saaliin kuljetuksen kotimatkaan aiheuttamat lisäkilometrit.</t>
        </r>
      </text>
    </comment>
    <comment ref="S170" authorId="1" shapeId="0" xr:uid="{00000000-0006-0000-0300-0000AB000000}">
      <text>
        <r>
          <rPr>
            <sz val="10"/>
            <color indexed="81"/>
            <rFont val="Tahoma"/>
            <family val="2"/>
          </rPr>
          <t>Merkitään saaliin kuljetuksen kotimatkaan aiheuttamat lisäkilometrit.</t>
        </r>
      </text>
    </comment>
    <comment ref="L171" authorId="1" shapeId="0" xr:uid="{00000000-0006-0000-0300-0000AC000000}">
      <text>
        <r>
          <rPr>
            <sz val="10"/>
            <color indexed="81"/>
            <rFont val="Tahoma"/>
            <family val="2"/>
          </rPr>
          <t>Merkitään saaliin kuljetuksen kotimatkaan aiheuttama lisämatka-aika.</t>
        </r>
      </text>
    </comment>
    <comment ref="S171" authorId="1" shapeId="0" xr:uid="{00000000-0006-0000-0300-0000AD000000}">
      <text>
        <r>
          <rPr>
            <sz val="10"/>
            <color indexed="81"/>
            <rFont val="Tahoma"/>
            <family val="2"/>
          </rPr>
          <t>Merkitään saaliin kuljetuksen kotimatkaan aiheuttama lisämatka-aika.</t>
        </r>
      </text>
    </comment>
    <comment ref="E172" authorId="3" shapeId="0" xr:uid="{00000000-0006-0000-0300-0000AE000000}">
      <text>
        <r>
          <rPr>
            <sz val="10"/>
            <color indexed="81"/>
            <rFont val="Tahoma"/>
            <family val="2"/>
          </rPr>
          <t>Aiemmin syötetty kulutus.</t>
        </r>
      </text>
    </comment>
    <comment ref="L172" authorId="0" shapeId="0" xr:uid="{00000000-0006-0000-0300-0000AF000000}">
      <text>
        <r>
          <rPr>
            <sz val="10"/>
            <color indexed="81"/>
            <rFont val="Tahoma"/>
            <family val="2"/>
          </rPr>
          <t xml:space="preserve">Laita 0, jos matkoja ei ole.
</t>
        </r>
      </text>
    </comment>
    <comment ref="S172" authorId="0" shapeId="0" xr:uid="{00000000-0006-0000-0300-0000B0000000}">
      <text>
        <r>
          <rPr>
            <sz val="10"/>
            <color indexed="81"/>
            <rFont val="Tahoma"/>
            <family val="2"/>
          </rPr>
          <t xml:space="preserve">Laita 0, jos matkoja ei ole.
</t>
        </r>
      </text>
    </comment>
    <comment ref="E173" authorId="3" shapeId="0" xr:uid="{00000000-0006-0000-0300-0000B1000000}">
      <text>
        <r>
          <rPr>
            <sz val="10"/>
            <color indexed="81"/>
            <rFont val="Tahoma"/>
            <family val="2"/>
          </rPr>
          <t>Aiemmin syötetty hinta.</t>
        </r>
        <r>
          <rPr>
            <sz val="9"/>
            <color indexed="81"/>
            <rFont val="Tahoma"/>
            <family val="2"/>
          </rPr>
          <t xml:space="preserve">
</t>
        </r>
      </text>
    </comment>
    <comment ref="K173" authorId="0" shapeId="0" xr:uid="{00000000-0006-0000-0300-0000B2000000}">
      <text>
        <r>
          <rPr>
            <sz val="10"/>
            <color indexed="81"/>
            <rFont val="Tahoma"/>
            <family val="2"/>
          </rPr>
          <t>Käyttää aiemmin syötettyä polttoaineen kulutusta ja hintaa.</t>
        </r>
      </text>
    </comment>
    <comment ref="R173" authorId="0" shapeId="0" xr:uid="{00000000-0006-0000-0300-0000B3000000}">
      <text>
        <r>
          <rPr>
            <sz val="10"/>
            <color indexed="81"/>
            <rFont val="Tahoma"/>
            <family val="2"/>
          </rPr>
          <t>Käyttää aiemmin syötettyä polttoaineen kulutusta ja hintaa.</t>
        </r>
      </text>
    </comment>
    <comment ref="E180" authorId="2" shapeId="0" xr:uid="{00000000-0006-0000-0300-0000B4000000}">
      <text>
        <r>
          <rPr>
            <sz val="10"/>
            <color indexed="81"/>
            <rFont val="Tahoma"/>
            <family val="2"/>
          </rPr>
          <t>Koko kalastusmatkaan kulunut aika sisältäen matkojen lisäksi pyydyksen koennan.</t>
        </r>
      </text>
    </comment>
    <comment ref="E182" authorId="0" shapeId="0" xr:uid="{00000000-0006-0000-0300-0000B5000000}">
      <text>
        <r>
          <rPr>
            <sz val="10"/>
            <color indexed="81"/>
            <rFont val="Tahoma"/>
            <family val="2"/>
          </rPr>
          <t xml:space="preserve">Polttoaineen hinta tulee suoraan, kun käytettävä polttoaine merkitään vieressä olevaan kohtaan. Hinta on polttoaineveroton, jos polttoaineverot on taulukossa "10. Verot" merkittynä ja arvonlisäveroton, jos yleinen alv % on merkittynä.  Polttoaineen myyntihinta (=sis. alv) tulee olla merkittynä myös taulukossa "10. Verot". </t>
        </r>
      </text>
    </comment>
    <comment ref="G182" authorId="1" shapeId="0" xr:uid="{00000000-0006-0000-0300-0000B6000000}">
      <text>
        <r>
          <rPr>
            <sz val="10"/>
            <color indexed="81"/>
            <rFont val="Tahoma"/>
            <family val="2"/>
          </rPr>
          <t>Merkitse:
1 = bensiini
2 = polttoöljy</t>
        </r>
        <r>
          <rPr>
            <sz val="9"/>
            <color indexed="81"/>
            <rFont val="Tahoma"/>
            <family val="2"/>
          </rPr>
          <t xml:space="preserve">
</t>
        </r>
        <r>
          <rPr>
            <sz val="10"/>
            <color indexed="81"/>
            <rFont val="Tahoma"/>
            <family val="2"/>
          </rPr>
          <t>(kalastusmatkat)</t>
        </r>
      </text>
    </comment>
    <comment ref="E191" authorId="2" shapeId="0" xr:uid="{00000000-0006-0000-0300-0000B7000000}">
      <text>
        <r>
          <rPr>
            <sz val="10"/>
            <color indexed="81"/>
            <rFont val="Tahoma"/>
            <family val="2"/>
          </rPr>
          <t xml:space="preserve">Saaliin perkaukseen, fileointiin ja mädin talteenottoon kuluva aika merkitään taulukkoon "5. Kalan alkukäsittely satamassa".
</t>
        </r>
      </text>
    </comment>
    <comment ref="E192" authorId="3" shapeId="0" xr:uid="{00000000-0006-0000-0300-0000B8000000}">
      <text>
        <r>
          <rPr>
            <sz val="10"/>
            <color indexed="81"/>
            <rFont val="Tahoma"/>
            <family val="2"/>
          </rPr>
          <t>Ilman perkausta/fileointia/mädin talteenottoa.</t>
        </r>
        <r>
          <rPr>
            <sz val="9"/>
            <color indexed="81"/>
            <rFont val="Tahoma"/>
            <family val="2"/>
          </rPr>
          <t xml:space="preserve">
</t>
        </r>
      </text>
    </comment>
    <comment ref="E193" authorId="3" shapeId="0" xr:uid="{00000000-0006-0000-0300-0000B9000000}">
      <text>
        <r>
          <rPr>
            <sz val="10"/>
            <color indexed="81"/>
            <rFont val="Tahoma"/>
            <family val="2"/>
          </rPr>
          <t>Ilman perkausta/fileointia/mädin talteenottoa.</t>
        </r>
        <r>
          <rPr>
            <sz val="9"/>
            <color indexed="81"/>
            <rFont val="Tahoma"/>
            <family val="2"/>
          </rPr>
          <t xml:space="preserve">
</t>
        </r>
      </text>
    </comment>
    <comment ref="E194" authorId="3" shapeId="0" xr:uid="{00000000-0006-0000-0300-0000BA000000}">
      <text>
        <r>
          <rPr>
            <sz val="10"/>
            <color indexed="81"/>
            <rFont val="Tahoma"/>
            <family val="2"/>
          </rPr>
          <t>Ilman perkausta/fileointia/mädin talteenottoa.</t>
        </r>
        <r>
          <rPr>
            <sz val="9"/>
            <color indexed="81"/>
            <rFont val="Tahoma"/>
            <family val="2"/>
          </rPr>
          <t xml:space="preserve">
</t>
        </r>
      </text>
    </comment>
    <comment ref="D195" authorId="2" shapeId="0" xr:uid="{00000000-0006-0000-0300-0000BB000000}">
      <text>
        <r>
          <rPr>
            <sz val="10"/>
            <color indexed="81"/>
            <rFont val="Tahoma"/>
            <family val="2"/>
          </rPr>
          <t>Ei huomioi jäänkulutuksessa teollisuussilakkaa eikä kuoretta. Ei sisällä myöskään "4. Myynti" -taulukossa rehukalaksi merkittyjä määriä eikä lahnan ja särjen muu -kohtaan merkittyjä määriä eikä Muut kalat muu -kohtaan merkittyjä määriä.  Fileiden ja peratun kalan jäähdytyksen jään tarve on laskettu koko kalan painon mukaan.</t>
        </r>
      </text>
    </comment>
    <comment ref="E198" authorId="1" shapeId="0" xr:uid="{00000000-0006-0000-0300-0000BC000000}">
      <text>
        <r>
          <rPr>
            <sz val="10"/>
            <color indexed="81"/>
            <rFont val="Tahoma"/>
            <family val="2"/>
          </rPr>
          <t>Merkitään saaliin kuljetuksen kotimatkaan aiheuttamat lisäkilometrit.</t>
        </r>
      </text>
    </comment>
    <comment ref="E199" authorId="1" shapeId="0" xr:uid="{00000000-0006-0000-0300-0000BD000000}">
      <text>
        <r>
          <rPr>
            <sz val="10"/>
            <color indexed="81"/>
            <rFont val="Tahoma"/>
            <family val="2"/>
          </rPr>
          <t>Merkitään saaliin kuljetuksen kotimatkaan aiheuttama lisämatka-aika.</t>
        </r>
      </text>
    </comment>
    <comment ref="E200" authorId="0" shapeId="0" xr:uid="{00000000-0006-0000-0300-0000BE000000}">
      <text>
        <r>
          <rPr>
            <sz val="10"/>
            <color indexed="81"/>
            <rFont val="Tahoma"/>
            <family val="2"/>
          </rPr>
          <t>Laita 0, jos matkoja ei ole.</t>
        </r>
        <r>
          <rPr>
            <sz val="9"/>
            <color indexed="81"/>
            <rFont val="Tahoma"/>
            <family val="2"/>
          </rPr>
          <t xml:space="preserve">
</t>
        </r>
      </text>
    </comment>
    <comment ref="D201" authorId="0" shapeId="0" xr:uid="{00000000-0006-0000-0300-0000BF000000}">
      <text>
        <r>
          <rPr>
            <sz val="10"/>
            <color indexed="81"/>
            <rFont val="Tahoma"/>
            <family val="2"/>
          </rPr>
          <t>Käyttää aiemmin syötettyä polttoaineen kulutusta ja hintaa.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412jniukko</author>
  </authors>
  <commentList>
    <comment ref="CJ25" authorId="0" shapeId="0" xr:uid="{00000000-0006-0000-0400-000001000000}">
      <text>
        <r>
          <rPr>
            <sz val="10"/>
            <color indexed="81"/>
            <rFont val="Tahoma"/>
            <family val="2"/>
          </rPr>
          <t xml:space="preserve">Keskiarvo: pyyntikausien pyydysten määrää painotettu pyyntikausien pituuksilla. </t>
        </r>
      </text>
    </comment>
    <comment ref="B29" authorId="0" shapeId="0" xr:uid="{00000000-0006-0000-0400-000002000000}">
      <text>
        <r>
          <rPr>
            <sz val="9"/>
            <color indexed="81"/>
            <rFont val="Tahoma"/>
            <family val="2"/>
          </rPr>
          <t xml:space="preserve">Saalista ei merkitä, jos Pyydyksiä, kpl -kohdassa on nolla. </t>
        </r>
      </text>
    </comment>
    <comment ref="C29" authorId="0" shapeId="0" xr:uid="{00000000-0006-0000-0400-000003000000}">
      <text>
        <r>
          <rPr>
            <sz val="10"/>
            <color indexed="81"/>
            <rFont val="Tahoma"/>
            <family val="2"/>
          </rPr>
          <t>Imoittaa keskimääräisen saalliin (kg) yhtä koentakertaa kohti.</t>
        </r>
      </text>
    </comment>
    <comment ref="B30" authorId="0" shapeId="0" xr:uid="{00000000-0006-0000-0400-000004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CJ47" authorId="0" shapeId="0" xr:uid="{00000000-0006-0000-0400-000005000000}">
      <text>
        <r>
          <rPr>
            <sz val="10"/>
            <color indexed="81"/>
            <rFont val="Tahoma"/>
            <family val="2"/>
          </rPr>
          <t xml:space="preserve">Keskiarvo: pyyntikausien pyydysten määrää painotettu pyyntikausien pituuksilla. </t>
        </r>
      </text>
    </comment>
    <comment ref="B51" authorId="0" shapeId="0" xr:uid="{00000000-0006-0000-0400-000006000000}">
      <text>
        <r>
          <rPr>
            <sz val="10"/>
            <color indexed="81"/>
            <rFont val="Tahoma"/>
            <family val="2"/>
          </rPr>
          <t xml:space="preserve">Saalista ei  merkitä, jos Pyydyksiä, kpl -kohdassa on nolla. </t>
        </r>
      </text>
    </comment>
    <comment ref="C51" authorId="0" shapeId="0" xr:uid="{00000000-0006-0000-0400-000007000000}">
      <text>
        <r>
          <rPr>
            <sz val="10"/>
            <color indexed="81"/>
            <rFont val="Tahoma"/>
            <family val="2"/>
          </rPr>
          <t>Imoittaa keskimääräisen saalliin (kg) yhtä koentakertaa kohti.</t>
        </r>
      </text>
    </comment>
    <comment ref="B52" authorId="0" shapeId="0" xr:uid="{00000000-0006-0000-0400-000008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U69" authorId="0" shapeId="0" xr:uid="{00000000-0006-0000-0400-000009000000}">
      <text>
        <r>
          <rPr>
            <sz val="10"/>
            <color indexed="81"/>
            <rFont val="Tahoma"/>
            <family val="2"/>
          </rPr>
          <t xml:space="preserve">Keskiarvo: pyyntikausien pyydysten määrää painotettu pyyntikausien pituuksilla. </t>
        </r>
      </text>
    </comment>
    <comment ref="B73" authorId="0" shapeId="0" xr:uid="{00000000-0006-0000-0400-00000A000000}">
      <text>
        <r>
          <rPr>
            <sz val="10"/>
            <color indexed="81"/>
            <rFont val="Tahoma"/>
            <family val="2"/>
          </rPr>
          <t xml:space="preserve">Saalista ei  merkitä, jos Pyydyksiä, kpl -kohdassa on nolla. </t>
        </r>
      </text>
    </comment>
    <comment ref="C73" authorId="0" shapeId="0" xr:uid="{00000000-0006-0000-0400-00000B000000}">
      <text>
        <r>
          <rPr>
            <sz val="10"/>
            <color indexed="81"/>
            <rFont val="Tahoma"/>
            <family val="2"/>
          </rPr>
          <t>Imoittaa keskimääräisen saalliin (kg) yhtä koentakertaa kohti.</t>
        </r>
      </text>
    </comment>
    <comment ref="B74" authorId="0" shapeId="0" xr:uid="{00000000-0006-0000-0400-00000C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U91" authorId="0" shapeId="0" xr:uid="{00000000-0006-0000-0400-00000D000000}">
      <text>
        <r>
          <rPr>
            <sz val="10"/>
            <color indexed="81"/>
            <rFont val="Tahoma"/>
            <family val="2"/>
          </rPr>
          <t xml:space="preserve">Keskiarvo: pyyntikausien pyydysten määrää painotettu pyyntikausien pituuksilla. </t>
        </r>
      </text>
    </comment>
    <comment ref="B95" authorId="0" shapeId="0" xr:uid="{00000000-0006-0000-0400-00000E000000}">
      <text>
        <r>
          <rPr>
            <sz val="10"/>
            <color indexed="81"/>
            <rFont val="Tahoma"/>
            <family val="2"/>
          </rPr>
          <t xml:space="preserve">Saalista ei  merkitä, jos Pyydyksiä, kpl -kohdassa on nolla. </t>
        </r>
      </text>
    </comment>
    <comment ref="C95" authorId="0" shapeId="0" xr:uid="{00000000-0006-0000-0400-00000F000000}">
      <text>
        <r>
          <rPr>
            <sz val="10"/>
            <color indexed="81"/>
            <rFont val="Tahoma"/>
            <family val="2"/>
          </rPr>
          <t>Imoittaa keskimääräisen saalliin (kg) yhtä koentakertaa kohti.</t>
        </r>
      </text>
    </comment>
    <comment ref="B96" authorId="0" shapeId="0" xr:uid="{00000000-0006-0000-0400-000010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CJ113" authorId="0" shapeId="0" xr:uid="{00000000-0006-0000-0400-000011000000}">
      <text>
        <r>
          <rPr>
            <sz val="10"/>
            <color indexed="81"/>
            <rFont val="Tahoma"/>
            <family val="2"/>
          </rPr>
          <t xml:space="preserve">Keskiarvo: pyyntikausien pyydysten määrää painotettu pyyntikausien pituuksilla. </t>
        </r>
      </text>
    </comment>
    <comment ref="B117" authorId="0" shapeId="0" xr:uid="{00000000-0006-0000-0400-000012000000}">
      <text>
        <r>
          <rPr>
            <sz val="10"/>
            <color indexed="81"/>
            <rFont val="Tahoma"/>
            <family val="2"/>
          </rPr>
          <t xml:space="preserve">Saalista ei  merkitä, jos Pyydyksiä, kpl -kohdassa on nolla. </t>
        </r>
      </text>
    </comment>
    <comment ref="C117" authorId="0" shapeId="0" xr:uid="{00000000-0006-0000-0400-000013000000}">
      <text>
        <r>
          <rPr>
            <sz val="10"/>
            <color indexed="81"/>
            <rFont val="Tahoma"/>
            <family val="2"/>
          </rPr>
          <t>Imoittaa keskimääräisen saalliin (kg) yhtä koentakertaa kohti.</t>
        </r>
      </text>
    </comment>
    <comment ref="B118" authorId="0" shapeId="0" xr:uid="{00000000-0006-0000-0400-000014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CJ135" authorId="0" shapeId="0" xr:uid="{00000000-0006-0000-0400-000015000000}">
      <text>
        <r>
          <rPr>
            <sz val="10"/>
            <color indexed="81"/>
            <rFont val="Tahoma"/>
            <family val="2"/>
          </rPr>
          <t xml:space="preserve">Keskiarvo: pyyntikausien pyydysten määrää painotettu pyyntikausien pituuksilla. </t>
        </r>
      </text>
    </comment>
    <comment ref="B139" authorId="0" shapeId="0" xr:uid="{00000000-0006-0000-0400-000016000000}">
      <text>
        <r>
          <rPr>
            <sz val="10"/>
            <color indexed="81"/>
            <rFont val="Tahoma"/>
            <family val="2"/>
          </rPr>
          <t xml:space="preserve">Saalista ei  merkitä, jos Pyydyksiä, kpl -kohdassa on nolla. </t>
        </r>
      </text>
    </comment>
    <comment ref="C139" authorId="0" shapeId="0" xr:uid="{00000000-0006-0000-0400-000017000000}">
      <text>
        <r>
          <rPr>
            <sz val="10"/>
            <color indexed="81"/>
            <rFont val="Tahoma"/>
            <family val="2"/>
          </rPr>
          <t>Imoittaa keskimääräisen saalliin (kg) yhtä koentakertaa kohti.</t>
        </r>
      </text>
    </comment>
    <comment ref="B140" authorId="0" shapeId="0" xr:uid="{00000000-0006-0000-0400-000018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U157" authorId="0" shapeId="0" xr:uid="{00000000-0006-0000-0400-000019000000}">
      <text>
        <r>
          <rPr>
            <sz val="10"/>
            <color indexed="81"/>
            <rFont val="Tahoma"/>
            <family val="2"/>
          </rPr>
          <t xml:space="preserve">Keskiarvo: pyyntikausien pyydysten määrää painotettu pyyntikausien pituuksilla. </t>
        </r>
      </text>
    </comment>
    <comment ref="B161" authorId="0" shapeId="0" xr:uid="{00000000-0006-0000-0400-00001A000000}">
      <text>
        <r>
          <rPr>
            <sz val="10"/>
            <color indexed="81"/>
            <rFont val="Tahoma"/>
            <family val="2"/>
          </rPr>
          <t xml:space="preserve">Saalista ei  merkitä, jos Pyydyksiä, kpl -kohdassa on nolla. </t>
        </r>
      </text>
    </comment>
    <comment ref="C161" authorId="0" shapeId="0" xr:uid="{00000000-0006-0000-0400-00001B000000}">
      <text>
        <r>
          <rPr>
            <sz val="10"/>
            <color indexed="81"/>
            <rFont val="Tahoma"/>
            <family val="2"/>
          </rPr>
          <t>Imoittaa keskimääräisen saalliin (kg) yhtä koentakertaa kohti.</t>
        </r>
      </text>
    </comment>
    <comment ref="B162" authorId="0" shapeId="0" xr:uid="{00000000-0006-0000-0400-00001C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U179" authorId="0" shapeId="0" xr:uid="{00000000-0006-0000-0400-00001D000000}">
      <text>
        <r>
          <rPr>
            <sz val="10"/>
            <color indexed="81"/>
            <rFont val="Tahoma"/>
            <family val="2"/>
          </rPr>
          <t xml:space="preserve">Keskiarvo: pyyntikausien pyydysten määrää painotettu pyyntikausien pituuksilla. </t>
        </r>
      </text>
    </comment>
    <comment ref="B183" authorId="0" shapeId="0" xr:uid="{00000000-0006-0000-0400-00001E000000}">
      <text>
        <r>
          <rPr>
            <sz val="10"/>
            <color indexed="81"/>
            <rFont val="Tahoma"/>
            <family val="2"/>
          </rPr>
          <t xml:space="preserve">Saalista ei  merkitä, jos Pyydyksiä, kpl -kohdassa on nolla. </t>
        </r>
      </text>
    </comment>
    <comment ref="C183" authorId="0" shapeId="0" xr:uid="{00000000-0006-0000-0400-00001F000000}">
      <text>
        <r>
          <rPr>
            <sz val="10"/>
            <color indexed="81"/>
            <rFont val="Tahoma"/>
            <family val="2"/>
          </rPr>
          <t>Imoittaa keskimääräisen saalliin (kg) yhtä koentakertaa kohti.</t>
        </r>
      </text>
    </comment>
    <comment ref="B184" authorId="0" shapeId="0" xr:uid="{00000000-0006-0000-0400-000020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05" authorId="0" shapeId="0" xr:uid="{00000000-0006-0000-0400-000021000000}">
      <text>
        <r>
          <rPr>
            <sz val="10"/>
            <color indexed="81"/>
            <rFont val="Tahoma"/>
            <family val="2"/>
          </rPr>
          <t xml:space="preserve">Saalista ei  merkitä, jos Pyydyksiä, kpl -kohdassa on nolla. </t>
        </r>
      </text>
    </comment>
    <comment ref="C205" authorId="0" shapeId="0" xr:uid="{00000000-0006-0000-0400-000022000000}">
      <text>
        <r>
          <rPr>
            <sz val="10"/>
            <color indexed="81"/>
            <rFont val="Tahoma"/>
            <family val="2"/>
          </rPr>
          <t>Imoittaa keskimääräisen saalliin (kg) yhtä koentakertaa kohti.</t>
        </r>
      </text>
    </comment>
    <comment ref="B206" authorId="0" shapeId="0" xr:uid="{00000000-0006-0000-0400-000023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27" authorId="0" shapeId="0" xr:uid="{00000000-0006-0000-0400-000024000000}">
      <text>
        <r>
          <rPr>
            <sz val="10"/>
            <color indexed="81"/>
            <rFont val="Tahoma"/>
            <family val="2"/>
          </rPr>
          <t xml:space="preserve">Saalista ei  merkitä, jos Pyydyksiä, kpl -kohdassa on nolla. </t>
        </r>
      </text>
    </comment>
    <comment ref="C227" authorId="0" shapeId="0" xr:uid="{00000000-0006-0000-0400-000025000000}">
      <text>
        <r>
          <rPr>
            <sz val="10"/>
            <color indexed="81"/>
            <rFont val="Tahoma"/>
            <family val="2"/>
          </rPr>
          <t>Imoittaa keskimääräisen saalliin (kg) yhtä koentakertaa kohti.</t>
        </r>
      </text>
    </comment>
    <comment ref="B228" authorId="0" shapeId="0" xr:uid="{00000000-0006-0000-0400-000026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49" authorId="0" shapeId="0" xr:uid="{00000000-0006-0000-0400-000027000000}">
      <text>
        <r>
          <rPr>
            <sz val="10"/>
            <color indexed="81"/>
            <rFont val="Tahoma"/>
            <family val="2"/>
          </rPr>
          <t xml:space="preserve">Saalista ei  merkitä, jos Pyydyksiä, kpl -kohdassa on nolla. </t>
        </r>
      </text>
    </comment>
    <comment ref="C249" authorId="0" shapeId="0" xr:uid="{00000000-0006-0000-0400-000028000000}">
      <text>
        <r>
          <rPr>
            <sz val="10"/>
            <color indexed="81"/>
            <rFont val="Tahoma"/>
            <family val="2"/>
          </rPr>
          <t>Imoittaa keskimääräisen saalliin (kg) yhtä koentakertaa kohti.</t>
        </r>
      </text>
    </comment>
    <comment ref="B250" authorId="0" shapeId="0" xr:uid="{00000000-0006-0000-0400-000029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71" authorId="0" shapeId="0" xr:uid="{00000000-0006-0000-0400-00002A000000}">
      <text>
        <r>
          <rPr>
            <sz val="10"/>
            <color indexed="81"/>
            <rFont val="Tahoma"/>
            <family val="2"/>
          </rPr>
          <t xml:space="preserve">Saalista ei  merkitä, jos Pyydyksiä, kpl -kohdassa on nolla. </t>
        </r>
      </text>
    </comment>
    <comment ref="C271" authorId="0" shapeId="0" xr:uid="{00000000-0006-0000-0400-00002B000000}">
      <text>
        <r>
          <rPr>
            <sz val="10"/>
            <color indexed="81"/>
            <rFont val="Tahoma"/>
            <family val="2"/>
          </rPr>
          <t>Imoittaa keskimääräisen saalliin (kg) yhtä koentakertaa kohti.</t>
        </r>
      </text>
    </comment>
    <comment ref="B272" authorId="0" shapeId="0" xr:uid="{00000000-0006-0000-0400-00002C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293" authorId="0" shapeId="0" xr:uid="{00000000-0006-0000-0400-00002D000000}">
      <text>
        <r>
          <rPr>
            <sz val="10"/>
            <color indexed="81"/>
            <rFont val="Tahoma"/>
            <family val="2"/>
          </rPr>
          <t xml:space="preserve">Saalista ei  merkitä, jos Pyydyksiä, kpl -kohdassa on nolla. </t>
        </r>
      </text>
    </comment>
    <comment ref="C293" authorId="0" shapeId="0" xr:uid="{00000000-0006-0000-0400-00002E000000}">
      <text>
        <r>
          <rPr>
            <sz val="10"/>
            <color indexed="81"/>
            <rFont val="Tahoma"/>
            <family val="2"/>
          </rPr>
          <t>Imoittaa keskimääräisen saalliin (kg) yhtä koentakertaa kohti.</t>
        </r>
      </text>
    </comment>
    <comment ref="B294" authorId="0" shapeId="0" xr:uid="{00000000-0006-0000-0400-00002F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 ref="B315" authorId="0" shapeId="0" xr:uid="{00000000-0006-0000-0400-000030000000}">
      <text>
        <r>
          <rPr>
            <sz val="10"/>
            <color indexed="81"/>
            <rFont val="Tahoma"/>
            <family val="2"/>
          </rPr>
          <t xml:space="preserve">Saalista ei  merkitä, jos Pyydyksiä, kpl -kohdassa on nolla. </t>
        </r>
      </text>
    </comment>
    <comment ref="C315" authorId="0" shapeId="0" xr:uid="{00000000-0006-0000-0400-000031000000}">
      <text>
        <r>
          <rPr>
            <sz val="10"/>
            <color indexed="81"/>
            <rFont val="Tahoma"/>
            <family val="2"/>
          </rPr>
          <t>Imoittaa keskimääräisen saalliin (kg) yhtä koentakertaa kohti.</t>
        </r>
      </text>
    </comment>
    <comment ref="B316" authorId="0" shapeId="0" xr:uid="{00000000-0006-0000-0400-000032000000}">
      <text>
        <r>
          <rPr>
            <sz val="10"/>
            <color indexed="81"/>
            <rFont val="Tahoma"/>
            <family val="2"/>
          </rPr>
          <t>Saalis merkitään aloitus- ja lopetuspäivämäärän välisille kuukausille saalisosuuksien mukaisesti. Saalista ei merkitä muiden kuukausien kohdalle.</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412jniukko</author>
    <author>Jari Setälä</author>
  </authors>
  <commentList>
    <comment ref="C24" authorId="0" shapeId="0" xr:uid="{00000000-0006-0000-0500-000001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L24" authorId="0" shapeId="0" xr:uid="{00000000-0006-0000-0500-000002000000}">
      <text>
        <r>
          <rPr>
            <sz val="10"/>
            <color indexed="81"/>
            <rFont val="Tahoma"/>
            <family val="2"/>
          </rPr>
          <t xml:space="preserve">Keskiarvo: pyyntikausien pyydysten määrää painotettu pyyntikausien pituuksilla. </t>
        </r>
      </text>
    </comment>
    <comment ref="CK28" authorId="0" shapeId="0" xr:uid="{00000000-0006-0000-0500-000003000000}">
      <text>
        <r>
          <rPr>
            <sz val="10"/>
            <color indexed="81"/>
            <rFont val="Tahoma"/>
            <family val="2"/>
          </rPr>
          <t>Lajikohtainen myynnin arvo =  lajin kaikkien pyyntimuotojen myynnin arvo  X  pyyntimuodon lajin saalisosuus lajin kokonaissaliista.</t>
        </r>
      </text>
    </comment>
    <comment ref="C31" authorId="1" shapeId="0" xr:uid="{00000000-0006-0000-0500-000004000000}">
      <text>
        <r>
          <rPr>
            <sz val="10"/>
            <color indexed="81"/>
            <rFont val="Tahoma"/>
            <family val="2"/>
          </rPr>
          <t>Ei oteta huomioon jäänkulutuksen laskemisessa.</t>
        </r>
        <r>
          <rPr>
            <sz val="8"/>
            <color indexed="81"/>
            <rFont val="Tahoma"/>
            <family val="2"/>
          </rPr>
          <t xml:space="preserve">
</t>
        </r>
      </text>
    </comment>
    <comment ref="C32" authorId="0" shapeId="0" xr:uid="{00000000-0006-0000-0500-000005000000}">
      <text>
        <r>
          <rPr>
            <sz val="10"/>
            <color indexed="81"/>
            <rFont val="Tahoma"/>
            <family val="2"/>
          </rPr>
          <t>Sisältäen suoramyynti.</t>
        </r>
      </text>
    </comment>
    <comment ref="T32" authorId="1" shapeId="0" xr:uid="{00000000-0006-0000-0500-000006000000}">
      <text>
        <r>
          <rPr>
            <sz val="10"/>
            <color indexed="81"/>
            <rFont val="Tahoma"/>
            <family val="2"/>
          </rPr>
          <t>Sisältäen suoramyynti.</t>
        </r>
      </text>
    </comment>
    <comment ref="AJ32" authorId="1" shapeId="0" xr:uid="{00000000-0006-0000-0500-000007000000}">
      <text>
        <r>
          <rPr>
            <sz val="10"/>
            <color indexed="81"/>
            <rFont val="Tahoma"/>
            <family val="2"/>
          </rPr>
          <t>Sisältäen suoramyynti.</t>
        </r>
      </text>
    </comment>
    <comment ref="AZ32" authorId="1" shapeId="0" xr:uid="{00000000-0006-0000-0500-000008000000}">
      <text>
        <r>
          <rPr>
            <sz val="10"/>
            <color indexed="81"/>
            <rFont val="Tahoma"/>
            <family val="2"/>
          </rPr>
          <t>Sisältäen suoramyynti.</t>
        </r>
      </text>
    </comment>
    <comment ref="C33" authorId="1" shapeId="0" xr:uid="{00000000-0006-0000-0500-000009000000}">
      <text>
        <r>
          <rPr>
            <sz val="10"/>
            <color indexed="81"/>
            <rFont val="Tahoma"/>
            <family val="2"/>
          </rPr>
          <t>Ilmoitetaan tuotepainona. Käy
merkitsemässä työaika taulukossa "Kalan alkukäsittely satamassa".</t>
        </r>
      </text>
    </comment>
    <comment ref="C40" authorId="1" shapeId="0" xr:uid="{00000000-0006-0000-0500-00000A000000}">
      <text>
        <r>
          <rPr>
            <sz val="10"/>
            <color indexed="81"/>
            <rFont val="Tahoma"/>
            <family val="2"/>
          </rPr>
          <t>Ei oteta huomioon jäänkulutuksen laskemisessa</t>
        </r>
        <r>
          <rPr>
            <sz val="8"/>
            <color indexed="81"/>
            <rFont val="Tahoma"/>
            <family val="2"/>
          </rPr>
          <t xml:space="preserve">.
</t>
        </r>
      </text>
    </comment>
    <comment ref="C41" authorId="0" shapeId="0" xr:uid="{00000000-0006-0000-0500-00000B000000}">
      <text>
        <r>
          <rPr>
            <sz val="10"/>
            <color indexed="81"/>
            <rFont val="Tahoma"/>
            <family val="2"/>
          </rPr>
          <t>Sisältäen suoramyynti.</t>
        </r>
      </text>
    </comment>
    <comment ref="T41" authorId="1" shapeId="0" xr:uid="{00000000-0006-0000-0500-00000C000000}">
      <text>
        <r>
          <rPr>
            <sz val="10"/>
            <color indexed="81"/>
            <rFont val="Tahoma"/>
            <family val="2"/>
          </rPr>
          <t>Sisältäen suoramyynti.</t>
        </r>
      </text>
    </comment>
    <comment ref="AJ41" authorId="1" shapeId="0" xr:uid="{00000000-0006-0000-0500-00000D000000}">
      <text>
        <r>
          <rPr>
            <sz val="10"/>
            <color indexed="81"/>
            <rFont val="Tahoma"/>
            <family val="2"/>
          </rPr>
          <t>Sisältäen suoramyynti.</t>
        </r>
      </text>
    </comment>
    <comment ref="AZ41" authorId="1" shapeId="0" xr:uid="{00000000-0006-0000-0500-00000E000000}">
      <text>
        <r>
          <rPr>
            <sz val="10"/>
            <color indexed="81"/>
            <rFont val="Tahoma"/>
            <family val="2"/>
          </rPr>
          <t>Sisältäen suoramyynti.</t>
        </r>
      </text>
    </comment>
    <comment ref="C42" authorId="1" shapeId="0" xr:uid="{00000000-0006-0000-0500-00000F000000}">
      <text>
        <r>
          <rPr>
            <sz val="10"/>
            <color indexed="81"/>
            <rFont val="Tahoma"/>
            <family val="2"/>
          </rPr>
          <t>Ilmoitetaan tuotepainona. Käy
merkitsemässä työaika taulukossa "Kalan alkukäsittely satamassa".</t>
        </r>
      </text>
    </comment>
    <comment ref="B43" authorId="0" shapeId="0" xr:uid="{00000000-0006-0000-0500-000010000000}">
      <text>
        <r>
          <rPr>
            <sz val="10"/>
            <color indexed="81"/>
            <rFont val="Tahoma"/>
            <family val="2"/>
          </rPr>
          <t>Taulukkoon merkitään myydyt määrät.</t>
        </r>
        <r>
          <rPr>
            <sz val="9"/>
            <color indexed="81"/>
            <rFont val="Tahoma"/>
            <family val="2"/>
          </rPr>
          <t xml:space="preserve">
</t>
        </r>
      </text>
    </comment>
    <comment ref="C43" authorId="0" shapeId="0" xr:uid="{00000000-0006-0000-0500-000011000000}">
      <text>
        <r>
          <rPr>
            <sz val="10"/>
            <color indexed="81"/>
            <rFont val="Tahoma"/>
            <family val="2"/>
          </rPr>
          <t>Merkitään nimike.</t>
        </r>
        <r>
          <rPr>
            <sz val="9"/>
            <color indexed="81"/>
            <rFont val="Tahoma"/>
            <family val="2"/>
          </rPr>
          <t xml:space="preserve">
</t>
        </r>
      </text>
    </comment>
    <comment ref="CL47" authorId="0" shapeId="0" xr:uid="{00000000-0006-0000-0500-000012000000}">
      <text>
        <r>
          <rPr>
            <sz val="10"/>
            <color indexed="81"/>
            <rFont val="Tahoma"/>
            <family val="2"/>
          </rPr>
          <t xml:space="preserve">Keskiarvo: pyyntikausien pyydysten määrää painotettu pyyntikausien pituuksilla. </t>
        </r>
      </text>
    </comment>
    <comment ref="C48" authorId="0" shapeId="0" xr:uid="{00000000-0006-0000-0500-000013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50" authorId="1" shapeId="0" xr:uid="{00000000-0006-0000-0500-000014000000}">
      <text>
        <r>
          <rPr>
            <sz val="10"/>
            <color indexed="81"/>
            <rFont val="Tahoma"/>
            <family val="2"/>
          </rPr>
          <t>Ilmoitetaan tuotepainona. Käy
merkitsemässä työkulut taulukossa "Kalan alkukäsittely satamassa".</t>
        </r>
      </text>
    </comment>
    <comment ref="CK51" authorId="0" shapeId="0" xr:uid="{00000000-0006-0000-0500-000015000000}">
      <text>
        <r>
          <rPr>
            <sz val="10"/>
            <color indexed="81"/>
            <rFont val="Tahoma"/>
            <family val="2"/>
          </rPr>
          <t>Lajikohtainen myynnin arvo =  lajin kaikkien pyyntimuotojen myynnin arvo  X  pyyntimuodon lajin saalisosuus lajin kokonaissaliista.</t>
        </r>
      </text>
    </comment>
    <comment ref="C52" authorId="1" shapeId="0" xr:uid="{00000000-0006-0000-0500-000016000000}">
      <text>
        <r>
          <rPr>
            <sz val="10"/>
            <color indexed="81"/>
            <rFont val="Tahoma"/>
            <family val="2"/>
          </rPr>
          <t>Ilmoitetaan tuotepainona. Käy
merkitsemässä työaika taulukossa "Kalan alkukäsittely satamassa".</t>
        </r>
      </text>
    </comment>
    <comment ref="B53" authorId="0" shapeId="0" xr:uid="{00000000-0006-0000-0500-000017000000}">
      <text>
        <r>
          <rPr>
            <sz val="10"/>
            <color indexed="81"/>
            <rFont val="Tahoma"/>
            <family val="2"/>
          </rPr>
          <t>Taulukkoon merkitään myydyt määrät.</t>
        </r>
        <r>
          <rPr>
            <sz val="9"/>
            <color indexed="81"/>
            <rFont val="Tahoma"/>
            <family val="2"/>
          </rPr>
          <t xml:space="preserve">
</t>
        </r>
      </text>
    </comment>
    <comment ref="C53" authorId="0" shapeId="0" xr:uid="{00000000-0006-0000-0500-000018000000}">
      <text>
        <r>
          <rPr>
            <sz val="10"/>
            <color indexed="81"/>
            <rFont val="Tahoma"/>
            <family val="2"/>
          </rPr>
          <t>Merkitään nimike.</t>
        </r>
        <r>
          <rPr>
            <sz val="9"/>
            <color indexed="81"/>
            <rFont val="Tahoma"/>
            <family val="2"/>
          </rPr>
          <t xml:space="preserve">
</t>
        </r>
      </text>
    </comment>
    <comment ref="C58" authorId="0" shapeId="0" xr:uid="{00000000-0006-0000-0500-000019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60" authorId="1" shapeId="0" xr:uid="{00000000-0006-0000-0500-00001A000000}">
      <text>
        <r>
          <rPr>
            <sz val="10"/>
            <color indexed="81"/>
            <rFont val="Tahoma"/>
            <family val="2"/>
          </rPr>
          <t>Käy tarvittaessa merkitsemässä työaika taulukkoon "Kalan alkukäsittely satamassa".</t>
        </r>
      </text>
    </comment>
    <comment ref="C61" authorId="1" shapeId="0" xr:uid="{00000000-0006-0000-0500-00001B000000}">
      <text>
        <r>
          <rPr>
            <sz val="10"/>
            <color indexed="81"/>
            <rFont val="Tahoma"/>
            <family val="2"/>
          </rPr>
          <t>Käy merkitsemässä työaika taulukkoon "Kalan alkukäsittely satamassa". Jalostus edellyttää hygieniainvestointeja.</t>
        </r>
      </text>
    </comment>
    <comment ref="C63" authorId="1" shapeId="0" xr:uid="{00000000-0006-0000-0500-00001C000000}">
      <text>
        <r>
          <rPr>
            <sz val="10"/>
            <color indexed="81"/>
            <rFont val="Tahoma"/>
            <family val="2"/>
          </rPr>
          <t>Käy tarvittaessa merkitsemässä työaika taulukkoon "Kalan alkukäsittely satamassa".</t>
        </r>
      </text>
    </comment>
    <comment ref="C64" authorId="1" shapeId="0" xr:uid="{00000000-0006-0000-0500-00001D000000}">
      <text>
        <r>
          <rPr>
            <sz val="10"/>
            <color indexed="81"/>
            <rFont val="Tahoma"/>
            <family val="2"/>
          </rPr>
          <t>Käy merkitsemässä työaika taulukkoon "Kalan alkukäsittely satamassa".Jalostus edellyttää hygieniainvestointeja.</t>
        </r>
      </text>
    </comment>
    <comment ref="B65" authorId="0" shapeId="0" xr:uid="{00000000-0006-0000-0500-00001E000000}">
      <text>
        <r>
          <rPr>
            <sz val="10"/>
            <color indexed="81"/>
            <rFont val="Tahoma"/>
            <family val="2"/>
          </rPr>
          <t>Taulukkoon merkitään myydyt määrät.</t>
        </r>
        <r>
          <rPr>
            <sz val="9"/>
            <color indexed="81"/>
            <rFont val="Tahoma"/>
            <family val="2"/>
          </rPr>
          <t xml:space="preserve">
</t>
        </r>
      </text>
    </comment>
    <comment ref="C65" authorId="0" shapeId="0" xr:uid="{00000000-0006-0000-0500-00001F000000}">
      <text>
        <r>
          <rPr>
            <sz val="10"/>
            <color indexed="81"/>
            <rFont val="Tahoma"/>
            <family val="2"/>
          </rPr>
          <t>Merkitään nimike.</t>
        </r>
        <r>
          <rPr>
            <sz val="9"/>
            <color indexed="81"/>
            <rFont val="Tahoma"/>
            <family val="2"/>
          </rPr>
          <t xml:space="preserve">
</t>
        </r>
      </text>
    </comment>
    <comment ref="C70" authorId="0" shapeId="0" xr:uid="{00000000-0006-0000-0500-000020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73" authorId="1" shapeId="0" xr:uid="{00000000-0006-0000-0500-000021000000}">
      <text>
        <r>
          <rPr>
            <sz val="10"/>
            <color indexed="81"/>
            <rFont val="Tahoma"/>
            <family val="2"/>
          </rPr>
          <t>Käy tarvittaessa merkitsemässä työaika taulukkoon "Kalan alkukäsittely satamassa".</t>
        </r>
      </text>
    </comment>
    <comment ref="C74" authorId="1" shapeId="0" xr:uid="{00000000-0006-0000-0500-000022000000}">
      <text>
        <r>
          <rPr>
            <sz val="10"/>
            <color indexed="81"/>
            <rFont val="Tahoma"/>
            <family val="2"/>
          </rPr>
          <t>Käy merkitsemässä työaika taulukkoon "Kalan alkukäsittely satamassa".Jalostus edellyttää hygieniainvestointeja.</t>
        </r>
      </text>
    </comment>
    <comment ref="CK74" authorId="0" shapeId="0" xr:uid="{00000000-0006-0000-0500-000023000000}">
      <text>
        <r>
          <rPr>
            <sz val="10"/>
            <color indexed="81"/>
            <rFont val="Tahoma"/>
            <family val="2"/>
          </rPr>
          <t>Lajikohtainen myynnin arvo =  lajin kaikkien pyyntimuotojen myynnin arvo  X  pyyntimuodon lajin saalisosuus lajin kokonaissaliista.</t>
        </r>
      </text>
    </comment>
    <comment ref="C76" authorId="1" shapeId="0" xr:uid="{00000000-0006-0000-0500-000024000000}">
      <text>
        <r>
          <rPr>
            <sz val="10"/>
            <color indexed="81"/>
            <rFont val="Tahoma"/>
            <family val="2"/>
          </rPr>
          <t>Käy tarvittaessa merkitsemässä työaika taulukkoon "Kalan alkukäsittely satamassa".</t>
        </r>
      </text>
    </comment>
    <comment ref="C77" authorId="1" shapeId="0" xr:uid="{00000000-0006-0000-0500-000025000000}">
      <text>
        <r>
          <rPr>
            <sz val="10"/>
            <color indexed="81"/>
            <rFont val="Tahoma"/>
            <family val="2"/>
          </rPr>
          <t>Käy merkitsemässä työaika taulukkoon "Kalan alkukäsittely satamassa".Jalostus edellyttää hygieniainvestointeja.</t>
        </r>
      </text>
    </comment>
    <comment ref="B78" authorId="0" shapeId="0" xr:uid="{00000000-0006-0000-0500-000026000000}">
      <text>
        <r>
          <rPr>
            <sz val="10"/>
            <color indexed="81"/>
            <rFont val="Tahoma"/>
            <family val="2"/>
          </rPr>
          <t>Taulukkoon merkitään myydyt määrät.</t>
        </r>
        <r>
          <rPr>
            <sz val="9"/>
            <color indexed="81"/>
            <rFont val="Tahoma"/>
            <family val="2"/>
          </rPr>
          <t xml:space="preserve">
</t>
        </r>
      </text>
    </comment>
    <comment ref="C78" authorId="0" shapeId="0" xr:uid="{00000000-0006-0000-0500-000027000000}">
      <text>
        <r>
          <rPr>
            <sz val="10"/>
            <color indexed="81"/>
            <rFont val="Tahoma"/>
            <family val="2"/>
          </rPr>
          <t>Merkitään nimike.</t>
        </r>
        <r>
          <rPr>
            <sz val="9"/>
            <color indexed="81"/>
            <rFont val="Tahoma"/>
            <family val="2"/>
          </rPr>
          <t xml:space="preserve">
</t>
        </r>
      </text>
    </comment>
    <comment ref="C83" authorId="0" shapeId="0" xr:uid="{00000000-0006-0000-0500-000028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85" authorId="1" shapeId="0" xr:uid="{00000000-0006-0000-0500-000029000000}">
      <text>
        <r>
          <rPr>
            <sz val="10"/>
            <color indexed="81"/>
            <rFont val="Tahoma"/>
            <family val="2"/>
          </rPr>
          <t>Käy tarvittaessa merkitsemässä työaika taulukkoon "Kalan alkukäsittely satamassa".</t>
        </r>
      </text>
    </comment>
    <comment ref="C86" authorId="1" shapeId="0" xr:uid="{00000000-0006-0000-0500-00002A000000}">
      <text>
        <r>
          <rPr>
            <sz val="10"/>
            <color indexed="81"/>
            <rFont val="Tahoma"/>
            <family val="2"/>
          </rPr>
          <t>Käy tarvittaessa merkitsemässä työaika taulukkoon "Kalan alkukäsittely satamassa".</t>
        </r>
      </text>
    </comment>
    <comment ref="C87" authorId="1" shapeId="0" xr:uid="{00000000-0006-0000-0500-00002B000000}">
      <text>
        <r>
          <rPr>
            <sz val="10"/>
            <color indexed="81"/>
            <rFont val="Tahoma"/>
            <family val="2"/>
          </rPr>
          <t>Käy tarvittaessa merkitsemässä työaika taulukkoon "Kalan alkukäsittely satamassa".</t>
        </r>
      </text>
    </comment>
    <comment ref="C88" authorId="1" shapeId="0" xr:uid="{00000000-0006-0000-0500-00002C000000}">
      <text>
        <r>
          <rPr>
            <sz val="10"/>
            <color indexed="81"/>
            <rFont val="Tahoma"/>
            <family val="2"/>
          </rPr>
          <t>Käy tarvittaessa merkitsemässä työaika taulukkoon "Kalan alkukäsittely satamassa".</t>
        </r>
      </text>
    </comment>
    <comment ref="C89" authorId="1" shapeId="0" xr:uid="{00000000-0006-0000-0500-00002D000000}">
      <text>
        <r>
          <rPr>
            <sz val="10"/>
            <color indexed="81"/>
            <rFont val="Tahoma"/>
            <family val="2"/>
          </rPr>
          <t>Käy merkitsemässä työaika taulukkoon "Kalan alkukäsittely satamassa".Jalostus edellyttää hygieniainvestointeja.</t>
        </r>
      </text>
    </comment>
    <comment ref="C90" authorId="1" shapeId="0" xr:uid="{00000000-0006-0000-0500-00002E000000}">
      <text>
        <r>
          <rPr>
            <sz val="10"/>
            <color indexed="81"/>
            <rFont val="Tahoma"/>
            <family val="2"/>
          </rPr>
          <t>Käy merkitsemässä työaika taulukkoon "Kalan alkukäsittely satamassa".Jalostus edellyttää hygieniainvestointeja.</t>
        </r>
      </text>
    </comment>
    <comment ref="C91" authorId="1" shapeId="0" xr:uid="{00000000-0006-0000-0500-00002F000000}">
      <text>
        <r>
          <rPr>
            <sz val="10"/>
            <color indexed="81"/>
            <rFont val="Tahoma"/>
            <family val="2"/>
          </rPr>
          <t>Käy merkitsemässä työaika taulukkoon "Kalan alkukäsittely satamassa".Jalostus edellyttää hygieniainvestointeja.</t>
        </r>
      </text>
    </comment>
    <comment ref="C92" authorId="1" shapeId="0" xr:uid="{00000000-0006-0000-0500-000030000000}">
      <text>
        <r>
          <rPr>
            <sz val="10"/>
            <color indexed="81"/>
            <rFont val="Tahoma"/>
            <family val="2"/>
          </rPr>
          <t>Käy merkitsemässä työaika taulukkoon "Kalan alkukäsittely satamassa".Jalostus edellyttää hygieniainvestointeja.</t>
        </r>
      </text>
    </comment>
    <comment ref="C93" authorId="1" shapeId="0" xr:uid="{00000000-0006-0000-0500-000031000000}">
      <text>
        <r>
          <rPr>
            <sz val="10"/>
            <color indexed="81"/>
            <rFont val="Tahoma"/>
            <family val="2"/>
          </rPr>
          <t>Ilmoitetaan tuotepainona. Käy
merkitsemässä työaika taulukossa "Kalan alkukäsittely satamassa".</t>
        </r>
      </text>
    </comment>
    <comment ref="C95" authorId="1" shapeId="0" xr:uid="{00000000-0006-0000-0500-000032000000}">
      <text>
        <r>
          <rPr>
            <sz val="10"/>
            <color indexed="81"/>
            <rFont val="Tahoma"/>
            <family val="2"/>
          </rPr>
          <t>Käy tarvittaessa merkitsemässä työaika taulukkoon "Kalan alkukäsittely satamassa".</t>
        </r>
      </text>
    </comment>
    <comment ref="C96" authorId="1" shapeId="0" xr:uid="{00000000-0006-0000-0500-000033000000}">
      <text>
        <r>
          <rPr>
            <sz val="10"/>
            <color indexed="81"/>
            <rFont val="Tahoma"/>
            <family val="2"/>
          </rPr>
          <t>Käy tarvittaessa merkitsemässä työaika taulukkoon "Kalan alkukäsittely satamassa".</t>
        </r>
      </text>
    </comment>
    <comment ref="C97" authorId="1" shapeId="0" xr:uid="{00000000-0006-0000-0500-000034000000}">
      <text>
        <r>
          <rPr>
            <sz val="10"/>
            <color indexed="81"/>
            <rFont val="Tahoma"/>
            <family val="2"/>
          </rPr>
          <t>Käy tarvittaessa merkitsemässä työaika taulukkoon "Kalan alkukäsittely satamassa".</t>
        </r>
      </text>
    </comment>
    <comment ref="CK97" authorId="0" shapeId="0" xr:uid="{00000000-0006-0000-0500-000035000000}">
      <text>
        <r>
          <rPr>
            <sz val="10"/>
            <color indexed="81"/>
            <rFont val="Tahoma"/>
            <family val="2"/>
          </rPr>
          <t>Lajikohtainen myynnin arvo =  lajin kaikkien pyyntimuotojen myynnin arvo  X  pyyntimuodon lajin saalisosuus lajin kokonaissaliista.</t>
        </r>
      </text>
    </comment>
    <comment ref="C98" authorId="1" shapeId="0" xr:uid="{00000000-0006-0000-0500-000036000000}">
      <text>
        <r>
          <rPr>
            <sz val="10"/>
            <color indexed="81"/>
            <rFont val="Tahoma"/>
            <family val="2"/>
          </rPr>
          <t>Käy tarvittaessa merkitsemässä työaika taulukkoon "Kalan alkukäsittely satamassa".</t>
        </r>
      </text>
    </comment>
    <comment ref="C99" authorId="1" shapeId="0" xr:uid="{00000000-0006-0000-0500-000037000000}">
      <text>
        <r>
          <rPr>
            <sz val="10"/>
            <color indexed="81"/>
            <rFont val="Tahoma"/>
            <family val="2"/>
          </rPr>
          <t>Käy merkitsemässä työaika taulukkoon "Kalan alkukäsittely satamassa".Jalostus edellyttää hygieniainvestointeja.</t>
        </r>
      </text>
    </comment>
    <comment ref="C100" authorId="1" shapeId="0" xr:uid="{00000000-0006-0000-0500-000038000000}">
      <text>
        <r>
          <rPr>
            <sz val="10"/>
            <color indexed="81"/>
            <rFont val="Tahoma"/>
            <family val="2"/>
          </rPr>
          <t>Käy merkitsemässä työaika taulukkoon "Kalan alkukäsittely satamassa".Jalostus edellyttää hygieniainvestointeja.</t>
        </r>
      </text>
    </comment>
    <comment ref="C101" authorId="1" shapeId="0" xr:uid="{00000000-0006-0000-0500-000039000000}">
      <text>
        <r>
          <rPr>
            <sz val="10"/>
            <color indexed="81"/>
            <rFont val="Tahoma"/>
            <family val="2"/>
          </rPr>
          <t>Käy merkitsemässä työaika taulukkoon "Kalan alkukäsittely satamassa".Jalostus edellyttää hygieniainvestointeja.</t>
        </r>
      </text>
    </comment>
    <comment ref="C102" authorId="1" shapeId="0" xr:uid="{00000000-0006-0000-0500-00003A000000}">
      <text>
        <r>
          <rPr>
            <sz val="10"/>
            <color indexed="81"/>
            <rFont val="Tahoma"/>
            <family val="2"/>
          </rPr>
          <t>Käy merkitsemässä työaika taulukkoon "Kalan alkukäsittely satamassa".Jalostus edellyttää hygieniainvestointeja.</t>
        </r>
      </text>
    </comment>
    <comment ref="C103" authorId="1" shapeId="0" xr:uid="{00000000-0006-0000-0500-00003B000000}">
      <text>
        <r>
          <rPr>
            <sz val="10"/>
            <color indexed="81"/>
            <rFont val="Tahoma"/>
            <family val="2"/>
          </rPr>
          <t>Ilmoitetaan tuotepainona. Käy
merkitsemässä työaika taulukossa "Kalan alkukäsittely satamassa".</t>
        </r>
      </text>
    </comment>
    <comment ref="B104" authorId="0" shapeId="0" xr:uid="{00000000-0006-0000-0500-00003C000000}">
      <text>
        <r>
          <rPr>
            <sz val="10"/>
            <color indexed="81"/>
            <rFont val="Tahoma"/>
            <family val="2"/>
          </rPr>
          <t>Taulukkoon merkitään myydyt määrät.</t>
        </r>
        <r>
          <rPr>
            <sz val="9"/>
            <color indexed="81"/>
            <rFont val="Tahoma"/>
            <family val="2"/>
          </rPr>
          <t xml:space="preserve">
</t>
        </r>
      </text>
    </comment>
    <comment ref="C104" authorId="0" shapeId="0" xr:uid="{00000000-0006-0000-0500-00003D000000}">
      <text>
        <r>
          <rPr>
            <sz val="10"/>
            <color indexed="81"/>
            <rFont val="Tahoma"/>
            <family val="2"/>
          </rPr>
          <t>Merkitään nimike.</t>
        </r>
        <r>
          <rPr>
            <sz val="9"/>
            <color indexed="81"/>
            <rFont val="Tahoma"/>
            <family val="2"/>
          </rPr>
          <t xml:space="preserve">
</t>
        </r>
      </text>
    </comment>
    <comment ref="C109" authorId="0" shapeId="0" xr:uid="{00000000-0006-0000-0500-00003E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11" authorId="1" shapeId="0" xr:uid="{00000000-0006-0000-0500-00003F000000}">
      <text>
        <r>
          <rPr>
            <sz val="10"/>
            <color indexed="81"/>
            <rFont val="Tahoma"/>
            <family val="2"/>
          </rPr>
          <t>Käy tarvittaessa merkitsemässä työaika taulukkoon "Kalan alkukäsittely satamassa".</t>
        </r>
      </text>
    </comment>
    <comment ref="C112" authorId="1" shapeId="0" xr:uid="{00000000-0006-0000-0500-000040000000}">
      <text>
        <r>
          <rPr>
            <sz val="10"/>
            <color indexed="81"/>
            <rFont val="Tahoma"/>
            <family val="2"/>
          </rPr>
          <t>Käy merkitsemässä työaika taulukkoon "Kalan alkukäsittely satamassa".Jalostus edellyttää hygieniainvestointeja.</t>
        </r>
      </text>
    </comment>
    <comment ref="C114" authorId="1" shapeId="0" xr:uid="{00000000-0006-0000-0500-000041000000}">
      <text>
        <r>
          <rPr>
            <sz val="10"/>
            <color indexed="81"/>
            <rFont val="Tahoma"/>
            <family val="2"/>
          </rPr>
          <t>Käy tarvittaessa merkitsemässä työaika taulukkoon "Kalan alkukäsittely satamassa".</t>
        </r>
      </text>
    </comment>
    <comment ref="C115" authorId="1" shapeId="0" xr:uid="{00000000-0006-0000-0500-000042000000}">
      <text>
        <r>
          <rPr>
            <sz val="10"/>
            <color indexed="81"/>
            <rFont val="Tahoma"/>
            <family val="2"/>
          </rPr>
          <t>Käy merkitsemässä työaika taulukkoon "Kalan alkukäsittely satamassa".Jalostus edellyttää hygieniainvestointeja</t>
        </r>
        <r>
          <rPr>
            <sz val="9"/>
            <color indexed="81"/>
            <rFont val="Tahoma"/>
            <family val="2"/>
          </rPr>
          <t>.</t>
        </r>
      </text>
    </comment>
    <comment ref="B116" authorId="0" shapeId="0" xr:uid="{00000000-0006-0000-0500-000043000000}">
      <text>
        <r>
          <rPr>
            <sz val="10"/>
            <color indexed="81"/>
            <rFont val="Tahoma"/>
            <family val="2"/>
          </rPr>
          <t>Taulukkoon merkitään myydyt määrät.</t>
        </r>
        <r>
          <rPr>
            <sz val="9"/>
            <color indexed="81"/>
            <rFont val="Tahoma"/>
            <family val="2"/>
          </rPr>
          <t xml:space="preserve">
</t>
        </r>
      </text>
    </comment>
    <comment ref="C116" authorId="0" shapeId="0" xr:uid="{00000000-0006-0000-0500-000044000000}">
      <text>
        <r>
          <rPr>
            <sz val="10"/>
            <color indexed="81"/>
            <rFont val="Tahoma"/>
            <family val="2"/>
          </rPr>
          <t>Merkitään nimike.</t>
        </r>
        <r>
          <rPr>
            <sz val="9"/>
            <color indexed="81"/>
            <rFont val="Tahoma"/>
            <family val="2"/>
          </rPr>
          <t xml:space="preserve">
</t>
        </r>
      </text>
    </comment>
    <comment ref="CL116" authorId="0" shapeId="0" xr:uid="{00000000-0006-0000-0500-000045000000}">
      <text>
        <r>
          <rPr>
            <sz val="10"/>
            <color indexed="81"/>
            <rFont val="Tahoma"/>
            <family val="2"/>
          </rPr>
          <t xml:space="preserve">Keskiarvo: pyyntikausien pyydysten määrää painotettu pyyntikausien pituuksilla. </t>
        </r>
      </text>
    </comment>
    <comment ref="CK120" authorId="0" shapeId="0" xr:uid="{00000000-0006-0000-0500-000046000000}">
      <text>
        <r>
          <rPr>
            <sz val="10"/>
            <color indexed="81"/>
            <rFont val="Tahoma"/>
            <family val="2"/>
          </rPr>
          <t>Lajikohtainen myynnin arvo =  lajin kaikkien pyyntimuotojen myynnin arvo  X  pyyntimuodon lajin saalisosuus lajin kokonaissaliista.</t>
        </r>
      </text>
    </comment>
    <comment ref="C121" authorId="0" shapeId="0" xr:uid="{00000000-0006-0000-0500-000047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23" authorId="1" shapeId="0" xr:uid="{00000000-0006-0000-0500-000048000000}">
      <text>
        <r>
          <rPr>
            <sz val="10"/>
            <color indexed="81"/>
            <rFont val="Tahoma"/>
            <family val="2"/>
          </rPr>
          <t>Käy tarvittaessa merkitsemässä työaika taulukkoon "Kalan alkukäsittely satamassa".</t>
        </r>
      </text>
    </comment>
    <comment ref="C124" authorId="1" shapeId="0" xr:uid="{00000000-0006-0000-0500-000049000000}">
      <text>
        <r>
          <rPr>
            <sz val="10"/>
            <color indexed="81"/>
            <rFont val="Tahoma"/>
            <family val="2"/>
          </rPr>
          <t>Käy merkitsemässä työaika taulukkoon "Kalan alkukäsittely satamassa".Jalostus edellyttää hygieniainvestointeja.</t>
        </r>
      </text>
    </comment>
    <comment ref="C125" authorId="1" shapeId="0" xr:uid="{00000000-0006-0000-0500-00004A000000}">
      <text>
        <r>
          <rPr>
            <sz val="10"/>
            <color indexed="81"/>
            <rFont val="Tahoma"/>
            <family val="2"/>
          </rPr>
          <t>Käy merkitsemässä työaika taulukkoon "Kalan alkukäsittely satamassa".Jalostus edellyttää hygieniainvestointeja.</t>
        </r>
      </text>
    </comment>
    <comment ref="C126" authorId="1" shapeId="0" xr:uid="{00000000-0006-0000-0500-00004B000000}">
      <text>
        <r>
          <rPr>
            <sz val="10"/>
            <color indexed="81"/>
            <rFont val="Tahoma"/>
            <family val="2"/>
          </rPr>
          <t>Ilmoitetaan tuotepainona.</t>
        </r>
      </text>
    </comment>
    <comment ref="C128" authorId="1" shapeId="0" xr:uid="{00000000-0006-0000-0500-00004C000000}">
      <text>
        <r>
          <rPr>
            <sz val="10"/>
            <color indexed="81"/>
            <rFont val="Tahoma"/>
            <family val="2"/>
          </rPr>
          <t>Käy tarvittaessa merkitsemässä työaika taulukkoon "Kalan alkukäsittely satamassa".</t>
        </r>
      </text>
    </comment>
    <comment ref="C129" authorId="1" shapeId="0" xr:uid="{00000000-0006-0000-0500-00004D000000}">
      <text>
        <r>
          <rPr>
            <sz val="10"/>
            <color indexed="81"/>
            <rFont val="Tahoma"/>
            <family val="2"/>
          </rPr>
          <t>Käy merkitsemässä työaika taulukkoon "Kalan alkukäsittely satamassa".Jalostus edellyttää hygieniainvestointeja.</t>
        </r>
      </text>
    </comment>
    <comment ref="C130" authorId="1" shapeId="0" xr:uid="{00000000-0006-0000-0500-00004E000000}">
      <text>
        <r>
          <rPr>
            <sz val="10"/>
            <color indexed="81"/>
            <rFont val="Tahoma"/>
            <family val="2"/>
          </rPr>
          <t>Käy merkitsemässä työaika taulukkoon "Kalan alkukäsittely satamassa".Jalostus edellyttää hygieniainvestointeja.</t>
        </r>
      </text>
    </comment>
    <comment ref="C131" authorId="1" shapeId="0" xr:uid="{00000000-0006-0000-0500-00004F000000}">
      <text>
        <r>
          <rPr>
            <sz val="10"/>
            <color indexed="81"/>
            <rFont val="Tahoma"/>
            <family val="2"/>
          </rPr>
          <t>Ilmoitetaan tuotepainona. Käy
merkitsemässä työaika taulukossa "Kalan alkukäsittely satamassa".</t>
        </r>
      </text>
    </comment>
    <comment ref="B132" authorId="0" shapeId="0" xr:uid="{00000000-0006-0000-0500-000050000000}">
      <text>
        <r>
          <rPr>
            <sz val="10"/>
            <color indexed="81"/>
            <rFont val="Tahoma"/>
            <family val="2"/>
          </rPr>
          <t>Taulukkoon merkitään myydyt määrät.</t>
        </r>
        <r>
          <rPr>
            <sz val="9"/>
            <color indexed="81"/>
            <rFont val="Tahoma"/>
            <family val="2"/>
          </rPr>
          <t xml:space="preserve">
</t>
        </r>
      </text>
    </comment>
    <comment ref="C132" authorId="0" shapeId="0" xr:uid="{00000000-0006-0000-0500-000051000000}">
      <text>
        <r>
          <rPr>
            <sz val="10"/>
            <color indexed="81"/>
            <rFont val="Tahoma"/>
            <family val="2"/>
          </rPr>
          <t>Merkitään nimike.</t>
        </r>
        <r>
          <rPr>
            <sz val="9"/>
            <color indexed="81"/>
            <rFont val="Tahoma"/>
            <family val="2"/>
          </rPr>
          <t xml:space="preserve">
</t>
        </r>
      </text>
    </comment>
    <comment ref="C137" authorId="0" shapeId="0" xr:uid="{00000000-0006-0000-0500-000052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38" authorId="1" shapeId="0" xr:uid="{00000000-0006-0000-0500-000053000000}">
      <text>
        <r>
          <rPr>
            <sz val="10"/>
            <color indexed="81"/>
            <rFont val="Tahoma"/>
            <family val="2"/>
          </rPr>
          <t>Käy tarvittaessa merkitsemässä työaika taulukkoon "Kalan alkukäsittely satamassa".</t>
        </r>
      </text>
    </comment>
    <comment ref="C139" authorId="1" shapeId="0" xr:uid="{00000000-0006-0000-0500-000054000000}">
      <text>
        <r>
          <rPr>
            <sz val="10"/>
            <color indexed="81"/>
            <rFont val="Tahoma"/>
            <family val="2"/>
          </rPr>
          <t>Käy merkitsemässä työaika taulukkoon "Kalan alkukäsittely satamassa".Jalostus edellyttää hygieniainvestointeja.</t>
        </r>
      </text>
    </comment>
    <comment ref="CL139" authorId="0" shapeId="0" xr:uid="{00000000-0006-0000-0500-000055000000}">
      <text>
        <r>
          <rPr>
            <sz val="10"/>
            <color indexed="81"/>
            <rFont val="Tahoma"/>
            <family val="2"/>
          </rPr>
          <t xml:space="preserve">Keskiarvo: pyyntikausien pyydysten määrää painotettu pyyntikausien pituuksilla. </t>
        </r>
      </text>
    </comment>
    <comment ref="C140" authorId="1" shapeId="0" xr:uid="{00000000-0006-0000-0500-000056000000}">
      <text>
        <r>
          <rPr>
            <sz val="10"/>
            <color indexed="81"/>
            <rFont val="Tahoma"/>
            <family val="2"/>
          </rPr>
          <t>Käy tarvittaessa merkitsemässä työaika taulukkoon "Kalan alkukäsittely satamassa".</t>
        </r>
      </text>
    </comment>
    <comment ref="C141" authorId="1" shapeId="0" xr:uid="{00000000-0006-0000-0500-000057000000}">
      <text>
        <r>
          <rPr>
            <sz val="10"/>
            <color indexed="81"/>
            <rFont val="Tahoma"/>
            <family val="2"/>
          </rPr>
          <t>Käy merkitsemässä työaika taulukkoon "Kalan alkukäsittely satamassa".Jalostus edellyttää hygieniainvestointeja.</t>
        </r>
      </text>
    </comment>
    <comment ref="B142" authorId="0" shapeId="0" xr:uid="{00000000-0006-0000-0500-000058000000}">
      <text>
        <r>
          <rPr>
            <sz val="10"/>
            <color indexed="81"/>
            <rFont val="Tahoma"/>
            <family val="2"/>
          </rPr>
          <t>Taulukkoon merkitään myydyt määrät.</t>
        </r>
        <r>
          <rPr>
            <sz val="9"/>
            <color indexed="81"/>
            <rFont val="Tahoma"/>
            <family val="2"/>
          </rPr>
          <t xml:space="preserve">
</t>
        </r>
      </text>
    </comment>
    <comment ref="C142" authorId="0" shapeId="0" xr:uid="{00000000-0006-0000-0500-000059000000}">
      <text>
        <r>
          <rPr>
            <sz val="10"/>
            <color indexed="81"/>
            <rFont val="Tahoma"/>
            <family val="2"/>
          </rPr>
          <t>Merkitään nimike.</t>
        </r>
        <r>
          <rPr>
            <sz val="9"/>
            <color indexed="81"/>
            <rFont val="Tahoma"/>
            <family val="2"/>
          </rPr>
          <t xml:space="preserve">
</t>
        </r>
      </text>
    </comment>
    <comment ref="CK143" authorId="0" shapeId="0" xr:uid="{00000000-0006-0000-0500-00005A000000}">
      <text>
        <r>
          <rPr>
            <sz val="10"/>
            <color indexed="81"/>
            <rFont val="Tahoma"/>
            <family val="2"/>
          </rPr>
          <t>Lajikohtainen myynnin arvo =  lajin kaikkien pyyntimuotojen myynnin arvo  X  pyyntimuodon lajin saalisosuus lajin kokonaissaliista.</t>
        </r>
      </text>
    </comment>
    <comment ref="C147" authorId="0" shapeId="0" xr:uid="{00000000-0006-0000-0500-00005B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49" authorId="1" shapeId="0" xr:uid="{00000000-0006-0000-0500-00005C000000}">
      <text>
        <r>
          <rPr>
            <sz val="10"/>
            <color indexed="81"/>
            <rFont val="Tahoma"/>
            <family val="2"/>
          </rPr>
          <t>Käy tarvittaessa merkitsemässä työaika taulukkoon "Kalan alkukäsittely satamassa".</t>
        </r>
      </text>
    </comment>
    <comment ref="C150" authorId="1" shapeId="0" xr:uid="{00000000-0006-0000-0500-00005D000000}">
      <text>
        <r>
          <rPr>
            <sz val="10"/>
            <color indexed="81"/>
            <rFont val="Tahoma"/>
            <family val="2"/>
          </rPr>
          <t>Käy merkitsemässä työaika taulukkoon "Kalan alkukäsittely satamassa".Jalostus edellyttää hygieniainvestointeja.</t>
        </r>
      </text>
    </comment>
    <comment ref="C151" authorId="1" shapeId="0" xr:uid="{00000000-0006-0000-0500-00005E000000}">
      <text>
        <r>
          <rPr>
            <sz val="10"/>
            <color indexed="81"/>
            <rFont val="Tahoma"/>
            <family val="2"/>
          </rPr>
          <t>Ei oteta huomioon jäänkulutuksen laskemisessa.</t>
        </r>
        <r>
          <rPr>
            <sz val="8"/>
            <color indexed="81"/>
            <rFont val="Tahoma"/>
            <family val="2"/>
          </rPr>
          <t xml:space="preserve">
</t>
        </r>
      </text>
    </comment>
    <comment ref="C153" authorId="1" shapeId="0" xr:uid="{00000000-0006-0000-0500-00005F000000}">
      <text>
        <r>
          <rPr>
            <sz val="10"/>
            <color indexed="81"/>
            <rFont val="Tahoma"/>
            <family val="2"/>
          </rPr>
          <t>Käy tarvittaessa merkitsemässä työaika taulukkoon "Kalan alkukäsittely satamassa".</t>
        </r>
      </text>
    </comment>
    <comment ref="C154" authorId="1" shapeId="0" xr:uid="{00000000-0006-0000-0500-000060000000}">
      <text>
        <r>
          <rPr>
            <sz val="10"/>
            <color indexed="81"/>
            <rFont val="Tahoma"/>
            <family val="2"/>
          </rPr>
          <t>Käy merkitsemässä työaika taulukkoon "Kalan alkukäsittely satamassa".Jalostus edellyttää hygieniainvestointeja.</t>
        </r>
      </text>
    </comment>
    <comment ref="C155" authorId="1" shapeId="0" xr:uid="{00000000-0006-0000-0500-000061000000}">
      <text>
        <r>
          <rPr>
            <sz val="10"/>
            <color indexed="81"/>
            <rFont val="Tahoma"/>
            <family val="2"/>
          </rPr>
          <t>Ei oteta huomioon jäänkulutuksen laskemisessa.</t>
        </r>
        <r>
          <rPr>
            <sz val="8"/>
            <color indexed="81"/>
            <rFont val="Tahoma"/>
            <family val="2"/>
          </rPr>
          <t xml:space="preserve">
</t>
        </r>
      </text>
    </comment>
    <comment ref="B156" authorId="1" shapeId="0" xr:uid="{00000000-0006-0000-0500-000062000000}">
      <text>
        <r>
          <rPr>
            <sz val="10"/>
            <color indexed="81"/>
            <rFont val="Tahoma"/>
            <family val="2"/>
          </rPr>
          <t>Ei oteta huomioon jäänkulutuksen laskemisessa.</t>
        </r>
        <r>
          <rPr>
            <sz val="8"/>
            <color indexed="81"/>
            <rFont val="Tahoma"/>
            <family val="2"/>
          </rPr>
          <t xml:space="preserve">
</t>
        </r>
      </text>
    </comment>
    <comment ref="C156" authorId="0" shapeId="0" xr:uid="{00000000-0006-0000-0500-000063000000}">
      <text>
        <r>
          <rPr>
            <sz val="10"/>
            <color indexed="81"/>
            <rFont val="Tahoma"/>
            <family val="2"/>
          </rPr>
          <t xml:space="preserve">Merkitään nimike. Taulukkoon merkitään  myydyt määrät.
</t>
        </r>
      </text>
    </comment>
    <comment ref="C161" authorId="0" shapeId="0" xr:uid="{00000000-0006-0000-0500-000064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63" authorId="1" shapeId="0" xr:uid="{00000000-0006-0000-0500-000065000000}">
      <text>
        <r>
          <rPr>
            <sz val="10"/>
            <color indexed="81"/>
            <rFont val="Tahoma"/>
            <family val="2"/>
          </rPr>
          <t>Käy tarvittaessa merkitsemässä työaika taulukkoon "Kalan alkukäsittely satamassa".</t>
        </r>
      </text>
    </comment>
    <comment ref="C164" authorId="1" shapeId="0" xr:uid="{00000000-0006-0000-0500-000066000000}">
      <text>
        <r>
          <rPr>
            <sz val="10"/>
            <color indexed="81"/>
            <rFont val="Tahoma"/>
            <family val="2"/>
          </rPr>
          <t>Käy merkitsemässä työaika taulukkoon "Kalan alkukäsittely satamassa".Jalostus edellyttää hygieniainvestointeja.</t>
        </r>
      </text>
    </comment>
    <comment ref="C165" authorId="1" shapeId="0" xr:uid="{00000000-0006-0000-0500-000067000000}">
      <text>
        <r>
          <rPr>
            <sz val="10"/>
            <color indexed="81"/>
            <rFont val="Tahoma"/>
            <family val="2"/>
          </rPr>
          <t>Ei oteta huomioon jäänkulutuksen laskemisessa.</t>
        </r>
        <r>
          <rPr>
            <sz val="8"/>
            <color indexed="81"/>
            <rFont val="Tahoma"/>
            <family val="2"/>
          </rPr>
          <t xml:space="preserve">
</t>
        </r>
      </text>
    </comment>
    <comment ref="C167" authorId="1" shapeId="0" xr:uid="{00000000-0006-0000-0500-000068000000}">
      <text>
        <r>
          <rPr>
            <sz val="10"/>
            <color indexed="81"/>
            <rFont val="Tahoma"/>
            <family val="2"/>
          </rPr>
          <t>Käy tarvittaessa merkitsemässä työaika taulukkoon "Kalan alkukäsittely satamassa".</t>
        </r>
      </text>
    </comment>
    <comment ref="C168" authorId="1" shapeId="0" xr:uid="{00000000-0006-0000-0500-000069000000}">
      <text>
        <r>
          <rPr>
            <sz val="10"/>
            <color indexed="81"/>
            <rFont val="Tahoma"/>
            <family val="2"/>
          </rPr>
          <t>Käy merkitsemässä työaika taulukkoon "Kalan alkukäsittely satamassa".Jalostus edellyttää hygieniainvestointeja.</t>
        </r>
      </text>
    </comment>
    <comment ref="C169" authorId="1" shapeId="0" xr:uid="{00000000-0006-0000-0500-00006A000000}">
      <text>
        <r>
          <rPr>
            <sz val="10"/>
            <color indexed="81"/>
            <rFont val="Tahoma"/>
            <family val="2"/>
          </rPr>
          <t xml:space="preserve">Ei oteta huomioon jäänkulutuksen laskemisessa.
</t>
        </r>
      </text>
    </comment>
    <comment ref="B170" authorId="1" shapeId="0" xr:uid="{00000000-0006-0000-0500-00006B000000}">
      <text>
        <r>
          <rPr>
            <sz val="10"/>
            <color indexed="81"/>
            <rFont val="Tahoma"/>
            <family val="2"/>
          </rPr>
          <t>Ei oteta huomioon jäänkulutuksen laskemisessa.</t>
        </r>
        <r>
          <rPr>
            <sz val="8"/>
            <color indexed="81"/>
            <rFont val="Tahoma"/>
            <family val="2"/>
          </rPr>
          <t xml:space="preserve">
</t>
        </r>
      </text>
    </comment>
    <comment ref="C170" authorId="0" shapeId="0" xr:uid="{00000000-0006-0000-0500-00006C000000}">
      <text>
        <r>
          <rPr>
            <sz val="10"/>
            <color indexed="81"/>
            <rFont val="Tahoma"/>
            <family val="2"/>
          </rPr>
          <t xml:space="preserve">Merkitään nimike. Taulukkoon merkitään  myydyt määrät.
</t>
        </r>
      </text>
    </comment>
    <comment ref="C175" authorId="0" shapeId="0" xr:uid="{00000000-0006-0000-0500-00006D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76" authorId="1" shapeId="0" xr:uid="{00000000-0006-0000-0500-00006E000000}">
      <text>
        <r>
          <rPr>
            <sz val="10"/>
            <color indexed="81"/>
            <rFont val="Tahoma"/>
            <family val="2"/>
          </rPr>
          <t>Ei oteta huomioon jäänkulutuksen laskemisessa.</t>
        </r>
        <r>
          <rPr>
            <sz val="8"/>
            <color indexed="81"/>
            <rFont val="Tahoma"/>
            <family val="2"/>
          </rPr>
          <t xml:space="preserve">
</t>
        </r>
      </text>
    </comment>
    <comment ref="C177" authorId="1" shapeId="0" xr:uid="{00000000-0006-0000-0500-00006F000000}">
      <text>
        <r>
          <rPr>
            <sz val="10"/>
            <color indexed="81"/>
            <rFont val="Tahoma"/>
            <family val="2"/>
          </rPr>
          <t>Ei oteta huomioon jäänkulutuksen laskemisessa.</t>
        </r>
        <r>
          <rPr>
            <sz val="8"/>
            <color indexed="81"/>
            <rFont val="Tahoma"/>
            <family val="2"/>
          </rPr>
          <t xml:space="preserve">
</t>
        </r>
      </text>
    </comment>
    <comment ref="C178" authorId="1" shapeId="0" xr:uid="{00000000-0006-0000-0500-000070000000}">
      <text>
        <r>
          <rPr>
            <sz val="10"/>
            <color indexed="81"/>
            <rFont val="Tahoma"/>
            <family val="2"/>
          </rPr>
          <t>Ei oteta huomioon jäänkulutuksen laskemisessa.</t>
        </r>
        <r>
          <rPr>
            <sz val="8"/>
            <color indexed="81"/>
            <rFont val="Tahoma"/>
            <family val="2"/>
          </rPr>
          <t xml:space="preserve">
</t>
        </r>
      </text>
    </comment>
    <comment ref="C179" authorId="1" shapeId="0" xr:uid="{00000000-0006-0000-0500-000071000000}">
      <text>
        <r>
          <rPr>
            <sz val="10"/>
            <color indexed="81"/>
            <rFont val="Tahoma"/>
            <family val="2"/>
          </rPr>
          <t xml:space="preserve">Ei oteta huomioon jäänkulutuksen laskemisessa.
</t>
        </r>
      </text>
    </comment>
    <comment ref="B180" authorId="1" shapeId="0" xr:uid="{00000000-0006-0000-0500-000072000000}">
      <text>
        <r>
          <rPr>
            <sz val="10"/>
            <color indexed="81"/>
            <rFont val="Tahoma"/>
            <family val="2"/>
          </rPr>
          <t>Ei oteta huomioon jäänkulutuksen laskemisessa.</t>
        </r>
        <r>
          <rPr>
            <sz val="8"/>
            <color indexed="81"/>
            <rFont val="Tahoma"/>
            <family val="2"/>
          </rPr>
          <t xml:space="preserve">
</t>
        </r>
      </text>
    </comment>
    <comment ref="C180" authorId="0" shapeId="0" xr:uid="{00000000-0006-0000-0500-000073000000}">
      <text>
        <r>
          <rPr>
            <sz val="10"/>
            <color indexed="81"/>
            <rFont val="Tahoma"/>
            <family val="2"/>
          </rPr>
          <t xml:space="preserve">Merkitään nimike. Taulukkoon merkitään  myydyt määrät.
</t>
        </r>
      </text>
    </comment>
    <comment ref="C185" authorId="0" shapeId="0" xr:uid="{00000000-0006-0000-0500-000074000000}">
      <text>
        <r>
          <rPr>
            <sz val="10"/>
            <color indexed="81"/>
            <rFont val="Tahoma"/>
            <family val="2"/>
          </rPr>
          <t>Saaliin painot kopioituu taulukosta "3. Saalis". Mahdolliset väärät lukemat on korjattava saalis -taulukossa. Myytyjen kalamäärien on vastattava saalista ja ylimyynnit on korjattava.</t>
        </r>
      </text>
    </comment>
    <comment ref="C187" authorId="1" shapeId="0" xr:uid="{00000000-0006-0000-0500-000075000000}">
      <text>
        <r>
          <rPr>
            <sz val="10"/>
            <color indexed="81"/>
            <rFont val="Tahoma"/>
            <family val="2"/>
          </rPr>
          <t>Käy tarvittaessa merkitsemässä työaika taulukkoon "Kalan alkukäsittely satamassa".</t>
        </r>
      </text>
    </comment>
    <comment ref="C188" authorId="1" shapeId="0" xr:uid="{00000000-0006-0000-0500-000076000000}">
      <text>
        <r>
          <rPr>
            <sz val="10"/>
            <color indexed="81"/>
            <rFont val="Tahoma"/>
            <family val="2"/>
          </rPr>
          <t>Käy merkitsemässä työaika taulukkoon "Kalan alkukäsittely satamassa".Jalostus edellyttää hygieniainvestointeja.</t>
        </r>
      </text>
    </comment>
    <comment ref="C189" authorId="1" shapeId="0" xr:uid="{00000000-0006-0000-0500-000077000000}">
      <text>
        <r>
          <rPr>
            <sz val="10"/>
            <color indexed="81"/>
            <rFont val="Tahoma"/>
            <family val="2"/>
          </rPr>
          <t xml:space="preserve">Ei oteta huomioon jäänkulutuksen laskemisessa.
</t>
        </r>
      </text>
    </comment>
    <comment ref="C191" authorId="1" shapeId="0" xr:uid="{00000000-0006-0000-0500-000078000000}">
      <text>
        <r>
          <rPr>
            <sz val="10"/>
            <color indexed="81"/>
            <rFont val="Tahoma"/>
            <family val="2"/>
          </rPr>
          <t>Käy tarvittaessa merkitsemässä työaika taulukkoon "Kalan alkukäsittely satamassa".</t>
        </r>
      </text>
    </comment>
    <comment ref="C192" authorId="1" shapeId="0" xr:uid="{00000000-0006-0000-0500-000079000000}">
      <text>
        <r>
          <rPr>
            <sz val="10"/>
            <color indexed="81"/>
            <rFont val="Tahoma"/>
            <family val="2"/>
          </rPr>
          <t>Käy merkitsemässä työaika taulukkoon "Kalan alkukäsittely satamassa".Jalostus edellyttää hygieniainvestointeja.</t>
        </r>
      </text>
    </comment>
    <comment ref="C193" authorId="1" shapeId="0" xr:uid="{00000000-0006-0000-0500-00007A000000}">
      <text>
        <r>
          <rPr>
            <sz val="10"/>
            <color indexed="81"/>
            <rFont val="Tahoma"/>
            <family val="2"/>
          </rPr>
          <t>Ei oteta huomioon jäänkulutuksen laskemisessa.</t>
        </r>
        <r>
          <rPr>
            <sz val="8"/>
            <color indexed="81"/>
            <rFont val="Tahoma"/>
            <family val="2"/>
          </rPr>
          <t xml:space="preserve">
</t>
        </r>
      </text>
    </comment>
    <comment ref="B194" authorId="1" shapeId="0" xr:uid="{00000000-0006-0000-0500-00007B000000}">
      <text>
        <r>
          <rPr>
            <sz val="10"/>
            <color indexed="81"/>
            <rFont val="Tahoma"/>
            <family val="2"/>
          </rPr>
          <t>Ei oteta huomioon jäänkulutuksen laskemisessa.</t>
        </r>
        <r>
          <rPr>
            <sz val="8"/>
            <color indexed="81"/>
            <rFont val="Tahoma"/>
            <family val="2"/>
          </rPr>
          <t xml:space="preserve">
</t>
        </r>
      </text>
    </comment>
    <comment ref="C194" authorId="0" shapeId="0" xr:uid="{00000000-0006-0000-0500-00007C000000}">
      <text>
        <r>
          <rPr>
            <sz val="10"/>
            <color indexed="81"/>
            <rFont val="Tahoma"/>
            <family val="2"/>
          </rPr>
          <t xml:space="preserve">Merkitään nimike. Taulukkoon merkitään  myydyt määrät.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Jari Setälä</author>
    <author>412jniukko</author>
    <author>412jsetala</author>
    <author>Jari Niukko</author>
  </authors>
  <commentList>
    <comment ref="BI4" authorId="0" shapeId="0" xr:uid="{00000000-0006-0000-0600-000001000000}">
      <text>
        <r>
          <rPr>
            <sz val="10"/>
            <color indexed="81"/>
            <rFont val="Tahoma"/>
            <family val="2"/>
          </rPr>
          <t xml:space="preserve">Kustannukset kohdistetaan pyyntimuotoon saaalisosuuden mukaan.
</t>
        </r>
      </text>
    </comment>
    <comment ref="BY4" authorId="0" shapeId="0" xr:uid="{00000000-0006-0000-0600-000002000000}">
      <text>
        <r>
          <rPr>
            <sz val="10"/>
            <color indexed="81"/>
            <rFont val="Tahoma"/>
            <family val="2"/>
          </rPr>
          <t xml:space="preserve">Kustannukset kohdistetaan pyyntimuotoon saaalisosuuden mukaan.
</t>
        </r>
      </text>
    </comment>
    <comment ref="CO4" authorId="0" shapeId="0" xr:uid="{00000000-0006-0000-0600-000003000000}">
      <text>
        <r>
          <rPr>
            <sz val="10"/>
            <color indexed="81"/>
            <rFont val="Tahoma"/>
            <family val="2"/>
          </rPr>
          <t xml:space="preserve">Kustannukset kohdistetaan pyyntimuotoon saaalisosuuden mukaan.
</t>
        </r>
      </text>
    </comment>
    <comment ref="DE4" authorId="0" shapeId="0" xr:uid="{00000000-0006-0000-0600-000004000000}">
      <text>
        <r>
          <rPr>
            <sz val="10"/>
            <color indexed="81"/>
            <rFont val="Tahoma"/>
            <family val="2"/>
          </rPr>
          <t xml:space="preserve">Kustannukset kohdistetaan pyyntimuotoon saaalisosuuden mukaan.
</t>
        </r>
      </text>
    </comment>
    <comment ref="DU4" authorId="0" shapeId="0" xr:uid="{00000000-0006-0000-0600-000005000000}">
      <text>
        <r>
          <rPr>
            <sz val="10"/>
            <color indexed="81"/>
            <rFont val="Tahoma"/>
            <family val="2"/>
          </rPr>
          <t xml:space="preserve">Kustannukset kohdistetaan pyyntimuotoon saaalisosuuden mukaan.
</t>
        </r>
      </text>
    </comment>
    <comment ref="EK4" authorId="0" shapeId="0" xr:uid="{00000000-0006-0000-0600-000006000000}">
      <text>
        <r>
          <rPr>
            <sz val="10"/>
            <color indexed="81"/>
            <rFont val="Tahoma"/>
            <family val="2"/>
          </rPr>
          <t xml:space="preserve">Kustannukset kohdistetaan pyyntimuotoon saaalisosuuden mukaan.
</t>
        </r>
      </text>
    </comment>
    <comment ref="F5" authorId="1" shapeId="0" xr:uid="{00000000-0006-0000-0600-000007000000}">
      <text>
        <r>
          <rPr>
            <sz val="10"/>
            <color indexed="81"/>
            <rFont val="Tahoma"/>
            <family val="2"/>
          </rPr>
          <t>Saanto perkaamattomasta kalasta.</t>
        </r>
      </text>
    </comment>
    <comment ref="L8" authorId="0" shapeId="0" xr:uid="{00000000-0006-0000-0600-000008000000}">
      <text>
        <r>
          <rPr>
            <sz val="10"/>
            <color indexed="81"/>
            <rFont val="Tahoma"/>
            <family val="2"/>
          </rPr>
          <t>tuotepaino</t>
        </r>
      </text>
    </comment>
    <comment ref="L12" authorId="0" shapeId="0" xr:uid="{00000000-0006-0000-0600-000009000000}">
      <text>
        <r>
          <rPr>
            <sz val="10"/>
            <color indexed="81"/>
            <rFont val="Tahoma"/>
            <family val="2"/>
          </rPr>
          <t>tuotepaino</t>
        </r>
      </text>
    </comment>
    <comment ref="C24" authorId="2" shapeId="0" xr:uid="{00000000-0006-0000-0600-00000A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D24" authorId="3" shapeId="0" xr:uid="{00000000-0006-0000-0600-00000B000000}">
      <text>
        <r>
          <rPr>
            <sz val="10"/>
            <color indexed="81"/>
            <rFont val="Tahoma"/>
            <family val="2"/>
          </rPr>
          <t>Merkitään 100 kg kalan perkaukseen käytettävä työtuntien kokonaismäärä.</t>
        </r>
      </text>
    </comment>
    <comment ref="E24" authorId="3" shapeId="0" xr:uid="{00000000-0006-0000-0600-00000C000000}">
      <text>
        <r>
          <rPr>
            <sz val="10"/>
            <color indexed="81"/>
            <rFont val="Tahoma"/>
            <family val="2"/>
          </rPr>
          <t>Merkitään 100 kg kalan nylkemiseen käytettävä työtuntien kokonaismäärä.</t>
        </r>
      </text>
    </comment>
    <comment ref="F24" authorId="3" shapeId="0" xr:uid="{00000000-0006-0000-0600-00000D000000}">
      <text>
        <r>
          <rPr>
            <sz val="10"/>
            <color indexed="81"/>
            <rFont val="Tahoma"/>
            <family val="2"/>
          </rPr>
          <t xml:space="preserve">Merkitään 100 kg kalan  fileointiin käytetttävä työtuntien kokonaismäärä. </t>
        </r>
      </text>
    </comment>
    <comment ref="G24" authorId="0" shapeId="0" xr:uid="{00000000-0006-0000-0600-00000E000000}">
      <text>
        <r>
          <rPr>
            <sz val="10"/>
            <color indexed="81"/>
            <rFont val="Tahoma"/>
            <family val="2"/>
          </rPr>
          <t>Merkitään 1 kg mädin talteenotossa käytettävä työtuntien kokonaismäärä.</t>
        </r>
      </text>
    </comment>
    <comment ref="G28" authorId="0" shapeId="0" xr:uid="{00000000-0006-0000-0600-00000F000000}">
      <text>
        <r>
          <rPr>
            <sz val="10"/>
            <color indexed="81"/>
            <rFont val="Tahoma"/>
            <family val="2"/>
          </rPr>
          <t>Ilmoitetaan työaika mätikiloa kohti.</t>
        </r>
      </text>
    </comment>
    <comment ref="G29" authorId="0" shapeId="0" xr:uid="{00000000-0006-0000-0600-000010000000}">
      <text>
        <r>
          <rPr>
            <sz val="10"/>
            <color indexed="81"/>
            <rFont val="Tahoma"/>
            <family val="2"/>
          </rPr>
          <t>Ilmoitetaan työaika mätikiloa kohti.</t>
        </r>
      </text>
    </comment>
    <comment ref="C30" authorId="2" shapeId="0" xr:uid="{00000000-0006-0000-0600-000011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1" authorId="2" shapeId="0" xr:uid="{00000000-0006-0000-0600-000012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2" authorId="2" shapeId="0" xr:uid="{00000000-0006-0000-0600-000013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3" authorId="2" shapeId="0" xr:uid="{00000000-0006-0000-0600-000014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4" authorId="2" shapeId="0" xr:uid="{00000000-0006-0000-0600-000015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L34" authorId="0" shapeId="0" xr:uid="{00000000-0006-0000-0600-000016000000}">
      <text>
        <r>
          <rPr>
            <sz val="10"/>
            <color indexed="81"/>
            <rFont val="Tahoma"/>
            <family val="2"/>
          </rPr>
          <t>tuotepaino</t>
        </r>
      </text>
    </comment>
    <comment ref="C35" authorId="2" shapeId="0" xr:uid="{00000000-0006-0000-0600-000017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G36" authorId="0" shapeId="0" xr:uid="{00000000-0006-0000-0600-000018000000}">
      <text>
        <r>
          <rPr>
            <sz val="10"/>
            <color indexed="81"/>
            <rFont val="Tahoma"/>
            <family val="2"/>
          </rPr>
          <t>Ilmoitetaan työaika mätikiloa kohti.</t>
        </r>
      </text>
    </comment>
    <comment ref="C37" authorId="2" shapeId="0" xr:uid="{00000000-0006-0000-0600-000019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38" authorId="2" shapeId="0" xr:uid="{00000000-0006-0000-0600-00001A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G38" authorId="0" shapeId="0" xr:uid="{00000000-0006-0000-0600-00001B000000}">
      <text>
        <r>
          <rPr>
            <sz val="10"/>
            <color indexed="81"/>
            <rFont val="Tahoma"/>
            <family val="2"/>
          </rPr>
          <t>Ilmoitetaan työaika mätikiloa kohti.</t>
        </r>
      </text>
    </comment>
    <comment ref="C39" authorId="2" shapeId="0" xr:uid="{00000000-0006-0000-0600-00001C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40" authorId="2" shapeId="0" xr:uid="{00000000-0006-0000-0600-00001D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41" authorId="2" shapeId="0" xr:uid="{00000000-0006-0000-0600-00001E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C42" authorId="2" shapeId="0" xr:uid="{00000000-0006-0000-0600-00001F000000}">
      <text>
        <r>
          <rPr>
            <sz val="10"/>
            <color indexed="81"/>
            <rFont val="Tahoma"/>
            <family val="2"/>
          </rPr>
          <t>Merkitse kuinka monta % saaliista perataan satamassa. Arvo voi olla mikä vain 0 ja 100 % välillä.  Jos kaikki perataan jo kalastusmatkalla merkitse 0. Jos kaikki perataan satamassa merkitse 100.</t>
        </r>
      </text>
    </comment>
    <comment ref="L46" authorId="0" shapeId="0" xr:uid="{00000000-0006-0000-0600-000020000000}">
      <text>
        <r>
          <rPr>
            <sz val="10"/>
            <color indexed="81"/>
            <rFont val="Tahoma"/>
            <family val="2"/>
          </rPr>
          <t>tuotepaino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412jniukko</author>
    <author>Jari Setälä</author>
  </authors>
  <commentList>
    <comment ref="M3" authorId="0" shapeId="0" xr:uid="{00000000-0006-0000-0800-000001000000}">
      <text>
        <r>
          <rPr>
            <sz val="10"/>
            <color indexed="81"/>
            <rFont val="Tahoma"/>
            <family val="2"/>
          </rPr>
          <t xml:space="preserve">Kustannukset kohdistetaan pyyntitapoihin pyyntitavan myynnin arvon mukaan, joka määräytyy lajien saalisosuuksien perusteella.
</t>
        </r>
      </text>
    </comment>
    <comment ref="B5" authorId="0" shapeId="0" xr:uid="{00000000-0006-0000-0800-000002000000}">
      <text>
        <r>
          <rPr>
            <sz val="10"/>
            <color indexed="81"/>
            <rFont val="Tahoma"/>
            <family val="2"/>
          </rPr>
          <t>Kaikki kiinteät kustannukset ovat vuotuisia kustannuksia.</t>
        </r>
      </text>
    </comment>
    <comment ref="C5" authorId="1" shapeId="0" xr:uid="{00000000-0006-0000-0800-000003000000}">
      <text>
        <r>
          <rPr>
            <sz val="10"/>
            <color indexed="81"/>
            <rFont val="Tahoma"/>
            <family val="2"/>
          </rPr>
          <t>Kiinteät kustannukset, joita on vaikea kohdistaa pyyntitapoihin.</t>
        </r>
      </text>
    </comment>
    <comment ref="D5" authorId="1" shapeId="0" xr:uid="{00000000-0006-0000-0800-000004000000}">
      <text>
        <r>
          <rPr>
            <sz val="10"/>
            <color indexed="81"/>
            <rFont val="Tahoma"/>
            <family val="2"/>
          </rPr>
          <t>Kiinteät kustannukset, jotka voidaan suoraan kohdistaa kalastusmuotoon.</t>
        </r>
      </text>
    </comment>
    <comment ref="B7" authorId="1" shapeId="0" xr:uid="{00000000-0006-0000-0800-000005000000}">
      <text>
        <r>
          <rPr>
            <sz val="10"/>
            <color indexed="81"/>
            <rFont val="Tahoma"/>
            <family val="2"/>
          </rPr>
          <t>Kunnossapidon, korjauksen ja uusien pyydysten rakentamisen työajat lasketaan erikseen alempana olevassa taulukossa.</t>
        </r>
      </text>
    </comment>
    <comment ref="L7" authorId="0" shapeId="0" xr:uid="{00000000-0006-0000-0800-000006000000}">
      <text>
        <r>
          <rPr>
            <sz val="10"/>
            <color indexed="81"/>
            <rFont val="Tahoma"/>
            <family val="2"/>
          </rPr>
          <t>Sisältää myös alimman taulukon mukaiset kunnossapidon ja korjauksen työkustannukset.</t>
        </r>
        <r>
          <rPr>
            <sz val="9"/>
            <color indexed="81"/>
            <rFont val="Tahoma"/>
            <family val="2"/>
          </rPr>
          <t xml:space="preserve">
 </t>
        </r>
      </text>
    </comment>
    <comment ref="U7" authorId="0" shapeId="0" xr:uid="{00000000-0006-0000-0800-000007000000}">
      <text>
        <r>
          <rPr>
            <sz val="10"/>
            <color indexed="81"/>
            <rFont val="Tahoma"/>
            <family val="2"/>
          </rPr>
          <t>Kunnossapitoon ja korjaukseen liittyvät hankinnat ja työkustannukset. Sisältää myös kalastusvälineiden hankinnat, joiden käyttöikä on alle 3 vuotta.</t>
        </r>
        <r>
          <rPr>
            <sz val="9"/>
            <color indexed="81"/>
            <rFont val="Tahoma"/>
            <family val="2"/>
          </rPr>
          <t xml:space="preserve">
</t>
        </r>
      </text>
    </comment>
    <comment ref="B9" authorId="1" shapeId="0" xr:uid="{00000000-0006-0000-0800-000008000000}">
      <text>
        <r>
          <rPr>
            <sz val="10"/>
            <color indexed="81"/>
            <rFont val="Tahoma"/>
            <family val="2"/>
          </rPr>
          <t>Merkitään myös hankinnat, jos käyttöikä on alle 3 vuotta. Jos käyttöikä on yli 3 vuotta,  merkitään investointeihin.</t>
        </r>
      </text>
    </comment>
    <comment ref="U9" authorId="0" shapeId="0" xr:uid="{00000000-0006-0000-0800-000009000000}">
      <text>
        <r>
          <rPr>
            <sz val="10"/>
            <color indexed="81"/>
            <rFont val="Tahoma"/>
            <family val="2"/>
          </rPr>
          <t>Sisältää ulkopuolisille maksetut muuhun kuin kalastustapahtumaan liittyvät palkat. Sisältää myös hallinnon, markkinoinnin ja kokousten työkustannukset sekä eläkemaksut, jotka eivät sisälly taulukon "11 . Työtunnit" palkan sivukuluihin.</t>
        </r>
      </text>
    </comment>
    <comment ref="B16" authorId="0" shapeId="0" xr:uid="{00000000-0006-0000-0800-00000A000000}">
      <text>
        <r>
          <rPr>
            <sz val="10"/>
            <color indexed="81"/>
            <rFont val="Tahoma"/>
            <family val="2"/>
          </rPr>
          <t>Muuhun kuin kalastustapahtumaan liittyvät ulkopuolisten palkat.</t>
        </r>
        <r>
          <rPr>
            <sz val="9"/>
            <color indexed="81"/>
            <rFont val="Tahoma"/>
            <family val="2"/>
          </rPr>
          <t xml:space="preserve">
</t>
        </r>
      </text>
    </comment>
    <comment ref="L16" authorId="0" shapeId="0" xr:uid="{00000000-0006-0000-0800-00000B000000}">
      <text>
        <r>
          <rPr>
            <sz val="10"/>
            <color indexed="81"/>
            <rFont val="Tahoma"/>
            <family val="2"/>
          </rPr>
          <t>Sisältää myös alimman taulukon mukaisia työkustannuksia (hallinto, markkinointi, kokoukset jne.)</t>
        </r>
        <r>
          <rPr>
            <sz val="9"/>
            <color indexed="81"/>
            <rFont val="Tahoma"/>
            <family val="2"/>
          </rPr>
          <t xml:space="preserve">
</t>
        </r>
      </text>
    </comment>
    <comment ref="B17" authorId="0" shapeId="0" xr:uid="{00000000-0006-0000-0800-00000C000000}">
      <text>
        <r>
          <rPr>
            <sz val="10"/>
            <color indexed="81"/>
            <rFont val="Tahoma"/>
            <family val="2"/>
          </rPr>
          <t>Siltä osin kuin eivät sisälly taulukon "11. Työtunnit" palkkoihin sivukuluineen.</t>
        </r>
        <r>
          <rPr>
            <sz val="11"/>
            <color indexed="81"/>
            <rFont val="Tahoma"/>
            <family val="2"/>
          </rPr>
          <t xml:space="preserve">
</t>
        </r>
      </text>
    </comment>
    <comment ref="B19" authorId="1" shapeId="0" xr:uid="{00000000-0006-0000-0800-00000D000000}">
      <text>
        <r>
          <rPr>
            <sz val="10"/>
            <color indexed="81"/>
            <rFont val="Tahoma"/>
            <family val="2"/>
          </rPr>
          <t>Muovilaatikot ja kontit investointeihin.</t>
        </r>
      </text>
    </comment>
    <comment ref="B24" authorId="1" shapeId="0" xr:uid="{00000000-0006-0000-0800-00000E000000}">
      <text>
        <r>
          <rPr>
            <sz val="10"/>
            <color indexed="81"/>
            <rFont val="Tahoma"/>
            <family val="2"/>
          </rPr>
          <t>Muovilaatikot ja kontit investointeja.</t>
        </r>
      </text>
    </comment>
    <comment ref="C31" authorId="1" shapeId="0" xr:uid="{00000000-0006-0000-0800-00000F000000}">
      <text>
        <r>
          <rPr>
            <sz val="10"/>
            <color indexed="81"/>
            <rFont val="Tahoma"/>
            <family val="2"/>
          </rPr>
          <t>Kiinteät kustannukset, joita on vaikea kohdistaa pyyntitapoihin.</t>
        </r>
      </text>
    </comment>
    <comment ref="D31" authorId="1" shapeId="0" xr:uid="{00000000-0006-0000-0800-000010000000}">
      <text>
        <r>
          <rPr>
            <sz val="10"/>
            <color indexed="81"/>
            <rFont val="Tahoma"/>
            <family val="2"/>
          </rPr>
          <t>Kiinteät kustannukset, jotka voidaan suoraan kohdistaa kalastusmuotoon.</t>
        </r>
      </text>
    </comment>
    <comment ref="B33" authorId="0" shapeId="0" xr:uid="{00000000-0006-0000-0800-000011000000}">
      <text>
        <r>
          <rPr>
            <sz val="10"/>
            <color indexed="81"/>
            <rFont val="Tahoma"/>
            <family val="2"/>
          </rPr>
          <t>Poisto on investoinnista aiheutuva vuosikustannus, joka lasketaan investoinnin poistoajan (yleensä käyttöiän) mukaan.</t>
        </r>
      </text>
    </comment>
    <comment ref="B34" authorId="1" shapeId="0" xr:uid="{00000000-0006-0000-0800-000012000000}">
      <text>
        <r>
          <rPr>
            <sz val="10"/>
            <color indexed="81"/>
            <rFont val="Tahoma"/>
            <family val="2"/>
          </rPr>
          <t>Aiemmin tehdyistä investoinneista aiheutuvat poistot</t>
        </r>
        <r>
          <rPr>
            <b/>
            <sz val="10"/>
            <color indexed="81"/>
            <rFont val="Tahoma"/>
            <family val="2"/>
          </rPr>
          <t xml:space="preserve"> </t>
        </r>
        <r>
          <rPr>
            <sz val="10"/>
            <color indexed="81"/>
            <rFont val="Tahoma"/>
            <family val="2"/>
          </rPr>
          <t xml:space="preserve">
</t>
        </r>
      </text>
    </comment>
    <comment ref="B40" authorId="0" shapeId="0" xr:uid="{00000000-0006-0000-0800-000013000000}">
      <text>
        <r>
          <rPr>
            <sz val="10"/>
            <color indexed="81"/>
            <rFont val="Tahoma"/>
            <family val="2"/>
          </rPr>
          <t xml:space="preserve">Uusinvestoinnista aiheutuva poisto. Lasketaan alempana olevaan kohtaan merkityn poistoajan perusteella. Vuosittainen poisto saadaan kun uusinvestoinnin arvo jaetaan poistoajalla. </t>
        </r>
      </text>
    </comment>
    <comment ref="B47" authorId="0" shapeId="0" xr:uid="{00000000-0006-0000-0800-000014000000}">
      <text>
        <r>
          <rPr>
            <sz val="10"/>
            <color indexed="81"/>
            <rFont val="Tahoma"/>
            <family val="2"/>
          </rPr>
          <t>Uusinvestoinnin arvo kokonaisuudessaan. Vuosittainen poisto ilmestyy ylempänä olevaan kohtaan, kun poistoaika on merkitty.</t>
        </r>
      </text>
    </comment>
    <comment ref="B53" authorId="0" shapeId="0" xr:uid="{00000000-0006-0000-0800-000015000000}">
      <text>
        <r>
          <rPr>
            <sz val="10"/>
            <color indexed="81"/>
            <rFont val="Tahoma"/>
            <family val="2"/>
          </rPr>
          <t>Merkitään poistoaika vuosina (vähintään 1 vuosi).</t>
        </r>
      </text>
    </comment>
    <comment ref="C58" authorId="1" shapeId="0" xr:uid="{00000000-0006-0000-0800-000016000000}">
      <text>
        <r>
          <rPr>
            <sz val="10"/>
            <color indexed="81"/>
            <rFont val="Tahoma"/>
            <family val="2"/>
          </rPr>
          <t>Kustannukset, joita on vaikea kohdistaa pyyntitapoihin.</t>
        </r>
      </text>
    </comment>
    <comment ref="D58" authorId="1" shapeId="0" xr:uid="{00000000-0006-0000-0800-000017000000}">
      <text>
        <r>
          <rPr>
            <sz val="10"/>
            <color indexed="81"/>
            <rFont val="Tahoma"/>
            <family val="2"/>
          </rPr>
          <t>Kustannukset, jotka voidaan suoraan kohdistaa kalastusmuotoon.</t>
        </r>
      </text>
    </comment>
    <comment ref="B74" authorId="1" shapeId="0" xr:uid="{00000000-0006-0000-0800-000018000000}">
      <text>
        <r>
          <rPr>
            <sz val="10"/>
            <color indexed="81"/>
            <rFont val="Tahoma"/>
            <family val="2"/>
          </rPr>
          <t>Jos uusinvestointi rahoitetaan lainalla, merkitse tähän lainan korko. Ohjelma laskee koron ja investoinnin arvon perusteella lainan korkokustannuksen. Tarkasta, että korko on merkitty 0:ksi, jos lainaa ei oteta.</t>
        </r>
      </text>
    </comment>
    <comment ref="B79" authorId="1" shapeId="0" xr:uid="{00000000-0006-0000-0800-000019000000}">
      <text>
        <r>
          <rPr>
            <sz val="10"/>
            <color indexed="81"/>
            <rFont val="Tahoma"/>
            <family val="2"/>
          </rPr>
          <t>Lainojen määrällä painotettu keskiarvo.</t>
        </r>
      </text>
    </comment>
    <comment ref="C82" authorId="1" shapeId="0" xr:uid="{00000000-0006-0000-0800-00001A000000}">
      <text>
        <r>
          <rPr>
            <sz val="10"/>
            <color indexed="81"/>
            <rFont val="Tahoma"/>
            <family val="2"/>
          </rPr>
          <t>Työtunnit, joita on vaikea kohdistaa pyyntitapoihin.</t>
        </r>
      </text>
    </comment>
    <comment ref="D82" authorId="1" shapeId="0" xr:uid="{00000000-0006-0000-0800-00001B000000}">
      <text>
        <r>
          <rPr>
            <sz val="10"/>
            <color indexed="81"/>
            <rFont val="Tahoma"/>
            <family val="2"/>
          </rPr>
          <t>Työtunnit, jotka voidaan suoraan kohdistaa kalastusmuotoon.</t>
        </r>
      </text>
    </comment>
    <comment ref="B84" authorId="1" shapeId="0" xr:uid="{00000000-0006-0000-0800-00001C000000}">
      <text>
        <r>
          <rPr>
            <sz val="10"/>
            <color indexed="81"/>
            <rFont val="Tahoma"/>
            <family val="2"/>
          </rPr>
          <t>Tähän merkityt työajat lisäävät ylös aiemmin merkittyjä kunnossapitokustannuksia.</t>
        </r>
      </text>
    </comment>
    <comment ref="L92" authorId="0" shapeId="0" xr:uid="{00000000-0006-0000-0800-00001D000000}">
      <text>
        <r>
          <rPr>
            <sz val="10"/>
            <color indexed="81"/>
            <rFont val="Tahoma"/>
            <family val="2"/>
          </rPr>
          <t>Taulukon tiedot lisääntyvät yllä olevaan taulukkoon vastaaviin kohtiin.</t>
        </r>
      </text>
    </comment>
    <comment ref="M92" authorId="1" shapeId="0" xr:uid="{00000000-0006-0000-0800-00001E000000}">
      <text>
        <r>
          <rPr>
            <sz val="9"/>
            <color indexed="81"/>
            <rFont val="Tahoma"/>
            <family val="2"/>
          </rPr>
          <t>Liikevaihdon perusteella pyyntitapoihin kohdistettuna.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Jari Setälä</author>
    <author>412jniukko</author>
  </authors>
  <commentList>
    <comment ref="B9" authorId="0" shapeId="0" xr:uid="{00000000-0006-0000-0900-000001000000}">
      <text>
        <r>
          <rPr>
            <sz val="10"/>
            <color indexed="81"/>
            <rFont val="Tahoma"/>
            <family val="2"/>
          </rPr>
          <t>Tuet, korvaukset, vuokratuotot.</t>
        </r>
      </text>
    </comment>
    <comment ref="E9" authorId="1" shapeId="0" xr:uid="{00000000-0006-0000-0900-000002000000}">
      <text>
        <r>
          <rPr>
            <sz val="10"/>
            <color indexed="81"/>
            <rFont val="Tahoma"/>
            <family val="2"/>
          </rPr>
          <t xml:space="preserve">Jos ei ole pyyntiä, merkitään nollaksi.
</t>
        </r>
      </text>
    </comment>
    <comment ref="G9" authorId="1" shapeId="0" xr:uid="{00000000-0006-0000-0900-000003000000}">
      <text>
        <r>
          <rPr>
            <sz val="10"/>
            <color indexed="81"/>
            <rFont val="Tahoma"/>
            <family val="2"/>
          </rPr>
          <t xml:space="preserve">Jos ei ole pyyntiä, merkitään nollaksi.
</t>
        </r>
      </text>
    </comment>
    <comment ref="I9" authorId="1" shapeId="0" xr:uid="{00000000-0006-0000-0900-000004000000}">
      <text>
        <r>
          <rPr>
            <sz val="10"/>
            <color indexed="81"/>
            <rFont val="Tahoma"/>
            <family val="2"/>
          </rPr>
          <t xml:space="preserve">Jos ei ole pyyntiä, merkitään nollaksi.
</t>
        </r>
      </text>
    </comment>
    <comment ref="K9" authorId="1" shapeId="0" xr:uid="{00000000-0006-0000-0900-000005000000}">
      <text>
        <r>
          <rPr>
            <sz val="10"/>
            <color indexed="81"/>
            <rFont val="Tahoma"/>
            <family val="2"/>
          </rPr>
          <t xml:space="preserve">Jos ei ole pyyntiä, merkitään nollaksi.
</t>
        </r>
      </text>
    </comment>
    <comment ref="M9" authorId="1" shapeId="0" xr:uid="{00000000-0006-0000-0900-000006000000}">
      <text>
        <r>
          <rPr>
            <sz val="10"/>
            <color indexed="81"/>
            <rFont val="Tahoma"/>
            <family val="2"/>
          </rPr>
          <t xml:space="preserve">Jos ei ole pyyntiä, merkitään nollaksi.
</t>
        </r>
      </text>
    </comment>
    <comment ref="O9" authorId="1" shapeId="0" xr:uid="{00000000-0006-0000-0900-000007000000}">
      <text>
        <r>
          <rPr>
            <sz val="10"/>
            <color indexed="81"/>
            <rFont val="Tahoma"/>
            <family val="2"/>
          </rPr>
          <t xml:space="preserve">Jos ei ole pyyntiä, merkitään nollaksi.
</t>
        </r>
      </text>
    </comment>
    <comment ref="F23" authorId="1" shapeId="0" xr:uid="{00000000-0006-0000-0900-000008000000}">
      <text>
        <r>
          <rPr>
            <sz val="10"/>
            <color indexed="81"/>
            <rFont val="Tahoma"/>
            <family val="2"/>
          </rPr>
          <t xml:space="preserve">Keskiarvo: pyyntikausien pyydysten määrää painotettu pyyntikausien pituuksilla. </t>
        </r>
      </text>
    </comment>
    <comment ref="H23" authorId="1" shapeId="0" xr:uid="{00000000-0006-0000-0900-000009000000}">
      <text>
        <r>
          <rPr>
            <sz val="10"/>
            <color indexed="81"/>
            <rFont val="Tahoma"/>
            <family val="2"/>
          </rPr>
          <t xml:space="preserve">Keskiarvo: pyyntikausien pyydysten määrää painotettu pyyntikausien pituuksilla. </t>
        </r>
      </text>
    </comment>
    <comment ref="N23" authorId="1" shapeId="0" xr:uid="{00000000-0006-0000-0900-00000A000000}">
      <text>
        <r>
          <rPr>
            <sz val="10"/>
            <color indexed="81"/>
            <rFont val="Tahoma"/>
            <family val="2"/>
          </rPr>
          <t xml:space="preserve">Keskiarvo: pyyntikausien pyydysten määrää painotettu pyyntikausien pituuksilla. </t>
        </r>
      </text>
    </comment>
    <comment ref="P23" authorId="1" shapeId="0" xr:uid="{00000000-0006-0000-0900-00000B000000}">
      <text>
        <r>
          <rPr>
            <sz val="10"/>
            <color indexed="81"/>
            <rFont val="Tahoma"/>
            <family val="2"/>
          </rPr>
          <t xml:space="preserve">Keskiarvo: pyyntikausien pyydysten määrää painotettu pyyntikausien pituuksilla. </t>
        </r>
      </text>
    </comment>
  </commentList>
</comments>
</file>

<file path=xl/sharedStrings.xml><?xml version="1.0" encoding="utf-8"?>
<sst xmlns="http://schemas.openxmlformats.org/spreadsheetml/2006/main" count="6017" uniqueCount="645">
  <si>
    <t>VERKKOKALASTUS</t>
  </si>
  <si>
    <t xml:space="preserve"> </t>
  </si>
  <si>
    <t>Aloituspäivämäärä</t>
  </si>
  <si>
    <t>Lopetuspäivämäärä</t>
  </si>
  <si>
    <t>Päiviä</t>
  </si>
  <si>
    <t>Koentakertojen lukumäärä</t>
  </si>
  <si>
    <t>Koentakertoja/vko</t>
  </si>
  <si>
    <t>Automatkat</t>
  </si>
  <si>
    <t>Edestakainen matka autolla kalasatamaan, km</t>
  </si>
  <si>
    <t>Kalasatamamatkojen lukumäärä, kpl</t>
  </si>
  <si>
    <t>Muiden automatkojen lukumäärä, kpl</t>
  </si>
  <si>
    <t>Edestakainen matka-aika autolla kalasatamaan, h</t>
  </si>
  <si>
    <t>Kilometrejä pyyntikaudella yhteensä</t>
  </si>
  <si>
    <r>
      <t>Edestakainen matka</t>
    </r>
    <r>
      <rPr>
        <sz val="10"/>
        <rFont val="Arial"/>
        <family val="2"/>
      </rPr>
      <t xml:space="preserve">-aika, h </t>
    </r>
  </si>
  <si>
    <t>Venematkat</t>
  </si>
  <si>
    <t>Pyyntikauden pituus</t>
  </si>
  <si>
    <r>
      <t>Edestakainen matka</t>
    </r>
    <r>
      <rPr>
        <sz val="10"/>
        <rFont val="Arial"/>
        <family val="2"/>
      </rPr>
      <t xml:space="preserve">-aika keskimäärin, h </t>
    </r>
  </si>
  <si>
    <t>Matkat moottorikelkalla tai mönkijällä</t>
  </si>
  <si>
    <t>Venematkojen lukumäärä, kpl</t>
  </si>
  <si>
    <t>Polttoaineen kulutus, l/matka</t>
  </si>
  <si>
    <t>RYSÄKALASTUS</t>
  </si>
  <si>
    <t>Rysien viritys</t>
  </si>
  <si>
    <t>Henkilöitä,kpl</t>
  </si>
  <si>
    <t xml:space="preserve">Venematkat edestakaisin, h </t>
  </si>
  <si>
    <t>Koentakertoja yhteensä, kpl</t>
  </si>
  <si>
    <t>Rysien poisto</t>
  </si>
  <si>
    <t>Koentakertoja pyyntikaudella, kpl</t>
  </si>
  <si>
    <t>Auton polttoainekustannukset pyyntikaudella, €</t>
  </si>
  <si>
    <t>Venematkoihin kulunut aika pyyntikaudella, h</t>
  </si>
  <si>
    <r>
      <t>Edestakainen kalastusmatka-aika</t>
    </r>
    <r>
      <rPr>
        <sz val="10"/>
        <rFont val="Arial"/>
        <family val="2"/>
      </rPr>
      <t xml:space="preserve"> keskimäärin, h </t>
    </r>
  </si>
  <si>
    <t>SAALIS</t>
  </si>
  <si>
    <t>Polttoainekustannus pyyntikautena, €</t>
  </si>
  <si>
    <t>Venematkoihin kulunut aika pyyntikautena, h</t>
  </si>
  <si>
    <t>Rysän pyyntiin laitto, h/rysä</t>
  </si>
  <si>
    <t>Rysien pyyntiin laittoon mennyt aika, h/pyyntikausi</t>
  </si>
  <si>
    <t>Saaliin käsittely, h/100 kg kalaa</t>
  </si>
  <si>
    <t>Särki</t>
  </si>
  <si>
    <t>Lahna</t>
  </si>
  <si>
    <t>Kuukausia</t>
  </si>
  <si>
    <t>Pyydyksiä, kpl</t>
  </si>
  <si>
    <t>Koko</t>
  </si>
  <si>
    <t>kausi</t>
  </si>
  <si>
    <t>Kuukausittain</t>
  </si>
  <si>
    <t>Päiviä, kpl</t>
  </si>
  <si>
    <t>Kuukausia, kpl</t>
  </si>
  <si>
    <t>Kaikki pyyntimuodot yhteensä</t>
  </si>
  <si>
    <t>Koenta-</t>
  </si>
  <si>
    <t>kerta</t>
  </si>
  <si>
    <t>Henkilöitä, kpl</t>
  </si>
  <si>
    <t>Muut edestakaiset automatka-ajat, h</t>
  </si>
  <si>
    <t>Muut edestakaiset automatkat, km</t>
  </si>
  <si>
    <t>Veneen polttoaineen kulutus, l/matka</t>
  </si>
  <si>
    <t>Rysiä viritetään päivässä, kpl</t>
  </si>
  <si>
    <t>Auton polttoaineen kulutus, l/100 km</t>
  </si>
  <si>
    <t>Virityksen aloituspäivämäärä</t>
  </si>
  <si>
    <t>Virityksen lopetuspäivämäärä</t>
  </si>
  <si>
    <t>PYYNTIKAUSI</t>
  </si>
  <si>
    <t>KALASTUSMATKA</t>
  </si>
  <si>
    <t>RYSIEN LUKUMÄÄRÄ, KPL</t>
  </si>
  <si>
    <t>Pyyntikaudella, kpl</t>
  </si>
  <si>
    <t>RYSIEN VIRITYS JA POISTO</t>
  </si>
  <si>
    <t>Satama-automatkoja, kpl</t>
  </si>
  <si>
    <t>Muita automatkoja, kpl</t>
  </si>
  <si>
    <t>Rehu</t>
  </si>
  <si>
    <t>Tukku</t>
  </si>
  <si>
    <t>000-luokka</t>
  </si>
  <si>
    <t>00-luokka</t>
  </si>
  <si>
    <t>0-luokka</t>
  </si>
  <si>
    <t>I-luokka</t>
  </si>
  <si>
    <t>II-luokka</t>
  </si>
  <si>
    <t>Kulutus</t>
  </si>
  <si>
    <t>Teollisuus</t>
  </si>
  <si>
    <t>Myytävää jäljellä</t>
  </si>
  <si>
    <t>Saalis, kg</t>
  </si>
  <si>
    <t>SILAKKA</t>
  </si>
  <si>
    <t>KUHA</t>
  </si>
  <si>
    <t>Perkaamaton</t>
  </si>
  <si>
    <t>Perattu</t>
  </si>
  <si>
    <t>File</t>
  </si>
  <si>
    <t>Muualle</t>
  </si>
  <si>
    <t>Muu, mikä:</t>
  </si>
  <si>
    <t>AHVEN</t>
  </si>
  <si>
    <t xml:space="preserve">Perkaamaton </t>
  </si>
  <si>
    <t xml:space="preserve">Perattu </t>
  </si>
  <si>
    <t xml:space="preserve">File </t>
  </si>
  <si>
    <t>SIIKA</t>
  </si>
  <si>
    <t>I-siikafile</t>
  </si>
  <si>
    <t>II-siikafile</t>
  </si>
  <si>
    <t>III-siikafile</t>
  </si>
  <si>
    <t>IV-siikafile</t>
  </si>
  <si>
    <t>HAUKI</t>
  </si>
  <si>
    <t>Mäti</t>
  </si>
  <si>
    <t>MADE</t>
  </si>
  <si>
    <t>Muu kala</t>
  </si>
  <si>
    <t>Kuore</t>
  </si>
  <si>
    <t>MYYNTIHINNAT, €/KG</t>
  </si>
  <si>
    <t>Nyljetty</t>
  </si>
  <si>
    <t>MYYNNIN ARVO, €</t>
  </si>
  <si>
    <t>Saaliin arvo, €</t>
  </si>
  <si>
    <t>Keskihinta, €/kg</t>
  </si>
  <si>
    <t>Silakka</t>
  </si>
  <si>
    <t>Kuha</t>
  </si>
  <si>
    <t>Ahven</t>
  </si>
  <si>
    <t>Siika</t>
  </si>
  <si>
    <t>Hauki</t>
  </si>
  <si>
    <t>Made</t>
  </si>
  <si>
    <t>Lohi/taimen</t>
  </si>
  <si>
    <t>Yhteensä</t>
  </si>
  <si>
    <t>Muikku</t>
  </si>
  <si>
    <t>OSUUS KOKONAISSAALIISTA</t>
  </si>
  <si>
    <t>Perkaus</t>
  </si>
  <si>
    <t>Fileointi</t>
  </si>
  <si>
    <t>MUIKKU</t>
  </si>
  <si>
    <t>Tuotetta yhteensä</t>
  </si>
  <si>
    <t>Nylkeminen</t>
  </si>
  <si>
    <t>I-siika perattu</t>
  </si>
  <si>
    <t>II-siika perattu</t>
  </si>
  <si>
    <t>III-siika perattu</t>
  </si>
  <si>
    <t>IV-siika perattu</t>
  </si>
  <si>
    <t>Siika I</t>
  </si>
  <si>
    <t>Siika II</t>
  </si>
  <si>
    <t>Siika III</t>
  </si>
  <si>
    <t>Siika IV</t>
  </si>
  <si>
    <t>MYYNTI, SAALIIN PAINO, KG</t>
  </si>
  <si>
    <t>Kalastusalukset</t>
  </si>
  <si>
    <t>Kalastusvälineet sisältäen hankinnat (jos käyttöikä alle 3 v.)</t>
  </si>
  <si>
    <t>Kunnossapito ja korjaus</t>
  </si>
  <si>
    <t>Omat eläkemaksut</t>
  </si>
  <si>
    <t>Pakkaukset ja rahdit</t>
  </si>
  <si>
    <t>Vakuutukset</t>
  </si>
  <si>
    <t>Alukset</t>
  </si>
  <si>
    <t>Pyydykset</t>
  </si>
  <si>
    <t>Rahdit</t>
  </si>
  <si>
    <t>Muut kiinteät kulut</t>
  </si>
  <si>
    <t>Vuokrat</t>
  </si>
  <si>
    <t>Vesialue</t>
  </si>
  <si>
    <t>Muut vuokrat</t>
  </si>
  <si>
    <t>Kalastusluvat</t>
  </si>
  <si>
    <t xml:space="preserve">Rakennukset, laitteet ja ajoneuvot ym. </t>
  </si>
  <si>
    <t>Palkat ja palkan sivukulut</t>
  </si>
  <si>
    <t>Kalastusvälineet (Hankinnat, joiden käyttöikä yli 3 v.)</t>
  </si>
  <si>
    <t>Muut suunnitellut poistot</t>
  </si>
  <si>
    <t>Suunnitelman mukaiset poistot</t>
  </si>
  <si>
    <t>Uusinvestointien poistot yhteensä</t>
  </si>
  <si>
    <t>Yhteensä,</t>
  </si>
  <si>
    <t>€</t>
  </si>
  <si>
    <t>Uusinvestointien arvo yhteensä</t>
  </si>
  <si>
    <t>POISTOT</t>
  </si>
  <si>
    <t>RAHOITUS</t>
  </si>
  <si>
    <t>Uusinvestointien lainojen keskikorko</t>
  </si>
  <si>
    <t xml:space="preserve">Yhteensä,  </t>
  </si>
  <si>
    <t xml:space="preserve"> €</t>
  </si>
  <si>
    <t>Suunnitelman mukaiset poistot yhteensä</t>
  </si>
  <si>
    <t>Muut uusinvestoinnit</t>
  </si>
  <si>
    <t>POISTOT YHTEENSÄ</t>
  </si>
  <si>
    <t>YHTEENSÄ</t>
  </si>
  <si>
    <t>Uusinvestointien lainakorot, %</t>
  </si>
  <si>
    <t>Uusinvestointien poistoaika, v</t>
  </si>
  <si>
    <t>Uusinvestointien poistot</t>
  </si>
  <si>
    <t xml:space="preserve">Automatkojen työkustannukset, € </t>
  </si>
  <si>
    <t>Työaikaa satamassa/kalastusmatka, h</t>
  </si>
  <si>
    <t>Satamassa menevä työaika pyyntikaudessa, h</t>
  </si>
  <si>
    <t xml:space="preserve">Kalastusmatkat  </t>
  </si>
  <si>
    <t>Pyydysten viritys</t>
  </si>
  <si>
    <t>Pyydysten poisto</t>
  </si>
  <si>
    <t>Muut muuttuvat kulut</t>
  </si>
  <si>
    <t>Auto</t>
  </si>
  <si>
    <t>Vene</t>
  </si>
  <si>
    <t>Jäät</t>
  </si>
  <si>
    <t>Veneiden polttoainekustannus pyyntikaudella, €</t>
  </si>
  <si>
    <t>VERKKOJEN LUKUMÄÄRÄ, KPL</t>
  </si>
  <si>
    <t>KOENTAKERTOJEN LUKUMÄÄRÄ</t>
  </si>
  <si>
    <t>SAANNOT, %</t>
  </si>
  <si>
    <t>TYÖAJAT,</t>
  </si>
  <si>
    <t>Saaliin punnitus ja pakkaus rannassa, h/100 kg kalaa</t>
  </si>
  <si>
    <t>SAALIIN KÄSITTELY SATAMASSA</t>
  </si>
  <si>
    <t xml:space="preserve">Mädin </t>
  </si>
  <si>
    <t>talteenotto</t>
  </si>
  <si>
    <t>Mädin talteenotto</t>
  </si>
  <si>
    <t>Perkaus, I-siika</t>
  </si>
  <si>
    <t>Perkaus, II-siika</t>
  </si>
  <si>
    <t>Perkaus, III-siika</t>
  </si>
  <si>
    <t>Perkaus, IV-siika</t>
  </si>
  <si>
    <t xml:space="preserve">h/100 kg </t>
  </si>
  <si>
    <t>kalaa tai mätiä</t>
  </si>
  <si>
    <t>SATAMASSA PERKAUKSEN, NYLKEMISEN, FILEOINNIN JA MÄDIN TALTEENOTON KUSTANNUKSET, €</t>
  </si>
  <si>
    <t>KALAN PERKAUS JA FILEOINTI SATAMASSA</t>
  </si>
  <si>
    <t>KAIKKI PYYNTIMUODOT</t>
  </si>
  <si>
    <t>KAIKKI LAJIT</t>
  </si>
  <si>
    <t>Käsittely yhteensä</t>
  </si>
  <si>
    <t>Silakan lajittelu, h/koentakerta</t>
  </si>
  <si>
    <t>Silakan lastaus, h/koentakerta</t>
  </si>
  <si>
    <t>Automatkojen lukumäärä, kpl</t>
  </si>
  <si>
    <t>Edestakaiset automatka-ajat, h</t>
  </si>
  <si>
    <t>Venematkojen työkustannus, €</t>
  </si>
  <si>
    <t>Automatkoihin kulunut aika pyyntikaudella h</t>
  </si>
  <si>
    <t>Automatkojen työkustannus pyyntikaudella €</t>
  </si>
  <si>
    <t>Venematkojen työkustannus pyyntikautena, €</t>
  </si>
  <si>
    <t>Kalan käsittelykustannukset €/pyyntikaudessa</t>
  </si>
  <si>
    <t>Edestakaiset automatkat, km</t>
  </si>
  <si>
    <t>Kilometrejä pyyntikaudella, km</t>
  </si>
  <si>
    <t>Automatkojen työkustannukset pyyntikaudella, €</t>
  </si>
  <si>
    <t>Venematkojen työkustannukset pyyntikaudella, €</t>
  </si>
  <si>
    <t>Polttoainekustannus pyyntikaudella, €</t>
  </si>
  <si>
    <t>Veneen polttoainekustannus pyyntikaudella, €</t>
  </si>
  <si>
    <t>Veneen polttoaineen kulutus l/matka</t>
  </si>
  <si>
    <t>Matkoihin kulunut aika yhteensä, h</t>
  </si>
  <si>
    <t>Moottorikelkka/mönkijämatkojen lukumäärä, kpl</t>
  </si>
  <si>
    <t>Saaliin käsittelyyn menevä aika pyyntikaudessa, h</t>
  </si>
  <si>
    <t>Kustannus pyyntikaudella, €</t>
  </si>
  <si>
    <t>Virityspäiviä, kpl</t>
  </si>
  <si>
    <t>Poistopäiviä, kpl</t>
  </si>
  <si>
    <t>Rysiä poistetataan päivässä, kpl</t>
  </si>
  <si>
    <t>Saaliin käsittelyn työkustannus pyyntikaudessa, €</t>
  </si>
  <si>
    <t>Moottorikelkka/Mönkijä</t>
  </si>
  <si>
    <t>%</t>
  </si>
  <si>
    <t>TALOUDELLINEN TULOS</t>
  </si>
  <si>
    <t>TUOTOT</t>
  </si>
  <si>
    <t>Koko yritys</t>
  </si>
  <si>
    <t>Tuotot yhteensä</t>
  </si>
  <si>
    <t>Muut tuotot</t>
  </si>
  <si>
    <t>TULOSLASKELMA</t>
  </si>
  <si>
    <t>KULUT</t>
  </si>
  <si>
    <t>Muuttuvat kulut</t>
  </si>
  <si>
    <t>Kalan myynti</t>
  </si>
  <si>
    <t>Kiinteät kulut</t>
  </si>
  <si>
    <t>Käyttökate</t>
  </si>
  <si>
    <t>Poistot</t>
  </si>
  <si>
    <t>Rahoituskulut</t>
  </si>
  <si>
    <t>yritys</t>
  </si>
  <si>
    <t>Pyyntitapoihin kohdistettu tuloslaskelma</t>
  </si>
  <si>
    <t>Tulos</t>
  </si>
  <si>
    <t>yhteensä</t>
  </si>
  <si>
    <t>Perkaus/fileointi/mädin talteenotto</t>
  </si>
  <si>
    <t>Kalan käsittely ja kuljetus</t>
  </si>
  <si>
    <t>Työkulut</t>
  </si>
  <si>
    <t>Polttoainekulut</t>
  </si>
  <si>
    <t>SIMULOINTI</t>
  </si>
  <si>
    <t>Saalis,</t>
  </si>
  <si>
    <t>Hinta,</t>
  </si>
  <si>
    <t>Arvo,</t>
  </si>
  <si>
    <t>kg</t>
  </si>
  <si>
    <t>€/kg</t>
  </si>
  <si>
    <t>Myyntituotot</t>
  </si>
  <si>
    <t>kalalajeittain</t>
  </si>
  <si>
    <t>Myyntituotot yhteensä</t>
  </si>
  <si>
    <t>Perkaus/fileointi jne.</t>
  </si>
  <si>
    <t>Lajittelu/pakkaus jne.</t>
  </si>
  <si>
    <t>Muuttuvat kulut yhteensä</t>
  </si>
  <si>
    <t>Kiinteät kulut yhteensä</t>
  </si>
  <si>
    <t>Aiempien lainojen korot</t>
  </si>
  <si>
    <t>Uusien lainojen korot</t>
  </si>
  <si>
    <t>Pääomakulut yhteensä</t>
  </si>
  <si>
    <t>KOKO YRITYS</t>
  </si>
  <si>
    <t>KÄYTTÖKATE</t>
  </si>
  <si>
    <t>toista</t>
  </si>
  <si>
    <t>Nyt</t>
  </si>
  <si>
    <t>Simuloitu</t>
  </si>
  <si>
    <t>SIMULOINTITULOKSET</t>
  </si>
  <si>
    <t>Muutos</t>
  </si>
  <si>
    <t>Taloudellinen tulos</t>
  </si>
  <si>
    <t>Yritys</t>
  </si>
  <si>
    <t>TYÖAJAT</t>
  </si>
  <si>
    <t>h</t>
  </si>
  <si>
    <t>Muu työ</t>
  </si>
  <si>
    <t>Yrtityksen hallinto, markkinointi, kokoukset jne.</t>
  </si>
  <si>
    <t>Muut palkat sivukuluineen</t>
  </si>
  <si>
    <t>Kalastus</t>
  </si>
  <si>
    <t>Kalastusvälineet</t>
  </si>
  <si>
    <t>Yrityksen hallinto, markkinointi, kokoukset jne.</t>
  </si>
  <si>
    <t>Rysiä, kpl</t>
  </si>
  <si>
    <t>PYYDYSKOHTAINEN</t>
  </si>
  <si>
    <t>Verkkoja, kpl</t>
  </si>
  <si>
    <t>Kokemisia, kpl</t>
  </si>
  <si>
    <t xml:space="preserve">Styroxlaatikot  </t>
  </si>
  <si>
    <t>Lajittelematon</t>
  </si>
  <si>
    <t>Uusinvestointien arvo</t>
  </si>
  <si>
    <t>% tuo-</t>
  </si>
  <si>
    <t>SIMULOITU</t>
  </si>
  <si>
    <t>NYT</t>
  </si>
  <si>
    <t>MUUTOS</t>
  </si>
  <si>
    <t>Kaikki työtunnit</t>
  </si>
  <si>
    <t>Pyydysten määrä</t>
  </si>
  <si>
    <t>Polttoaineen hinta</t>
  </si>
  <si>
    <t>Bensa</t>
  </si>
  <si>
    <t>Diesel</t>
  </si>
  <si>
    <t>Kevyt</t>
  </si>
  <si>
    <t>Polttoaineverot yhteensä</t>
  </si>
  <si>
    <t>polttoöljy</t>
  </si>
  <si>
    <t>Polttoaineverot</t>
  </si>
  <si>
    <t>Huoltovarmuusmaksu, snt/l</t>
  </si>
  <si>
    <t>Hinta (sis. alv), snt/l</t>
  </si>
  <si>
    <t>Hinta (ilman alv.), snt/l</t>
  </si>
  <si>
    <t>Hinta (ilman alv. ja polttoaineveroja), snt/l</t>
  </si>
  <si>
    <t>Arvonlisäverot</t>
  </si>
  <si>
    <t>Muu</t>
  </si>
  <si>
    <t>Elintarvike</t>
  </si>
  <si>
    <t>Yleinen</t>
  </si>
  <si>
    <t>Muut uusinvestoinnit (esim. hygieniainvestoinnit)</t>
  </si>
  <si>
    <t>alle 53 v.</t>
  </si>
  <si>
    <t>53 v. täyttäneet</t>
  </si>
  <si>
    <t>Työntekijän</t>
  </si>
  <si>
    <t>Osuus, %</t>
  </si>
  <si>
    <t>Työnantajan</t>
  </si>
  <si>
    <t>osuus, %</t>
  </si>
  <si>
    <t>Työttömyysvakuutusmaksu</t>
  </si>
  <si>
    <t>Ryhmähenkivakuutus</t>
  </si>
  <si>
    <t>Lakisääteinen tapaturmavakuutus</t>
  </si>
  <si>
    <t>Palkka sivukuluineen, €/h</t>
  </si>
  <si>
    <t>Palkka ilman sivukuluja, €/h</t>
  </si>
  <si>
    <t>Sivukulut, %</t>
  </si>
  <si>
    <t>Käsittelyyn menevä aika kalastuskaudella, h</t>
  </si>
  <si>
    <t>Jään kulutus pyyntikaudessa, kg</t>
  </si>
  <si>
    <t>Silakka silakkarysäpyynnissä</t>
  </si>
  <si>
    <t>Keskihinta (ilman alv.), €/kg</t>
  </si>
  <si>
    <t>Myynnin arvo (ilman alv.), €</t>
  </si>
  <si>
    <t>Arvonlisäveroprosentti</t>
  </si>
  <si>
    <t>Suoritettavat myyntialvit</t>
  </si>
  <si>
    <t>Vähennettävät ostoalvit</t>
  </si>
  <si>
    <t>Kulutus, l</t>
  </si>
  <si>
    <t>Polttoaineen kulutus ja alv.vähennys</t>
  </si>
  <si>
    <t>vene</t>
  </si>
  <si>
    <t>auto</t>
  </si>
  <si>
    <t>Polttoöljy</t>
  </si>
  <si>
    <t>Polttoaineverovähennys,€</t>
  </si>
  <si>
    <t>Pyyntitapoihin kohdistettuna</t>
  </si>
  <si>
    <t>Maksettavaksi jäävät alvit</t>
  </si>
  <si>
    <t>Lomaraha</t>
  </si>
  <si>
    <t>Lyhytaikanen</t>
  </si>
  <si>
    <t>Pitkäaikainen</t>
  </si>
  <si>
    <t>Palkan sivukulut, % tuntipalkasta</t>
  </si>
  <si>
    <t>Työtunnit, h</t>
  </si>
  <si>
    <t xml:space="preserve">Automatkoihin kulunut aika pyyntikaudella, h </t>
  </si>
  <si>
    <t>Pyydysten kunnostus ja rakentaminen</t>
  </si>
  <si>
    <t>TYÖTUNNIT</t>
  </si>
  <si>
    <t>Syksy</t>
  </si>
  <si>
    <t>Talvi jää</t>
  </si>
  <si>
    <t>Kevät</t>
  </si>
  <si>
    <t>SAALIIN KULJETUS TUKKUUN TAI MUUHUN MYYNTIPAIKKAAN</t>
  </si>
  <si>
    <t>TEOLLISUUSSILAKKA</t>
  </si>
  <si>
    <t>Kuukausi</t>
  </si>
  <si>
    <t>1-12</t>
  </si>
  <si>
    <t>Lappi ja Kainuu</t>
  </si>
  <si>
    <t>-</t>
  </si>
  <si>
    <t>Pohjanmaa</t>
  </si>
  <si>
    <t>Varsinais-Suomi</t>
  </si>
  <si>
    <t>Ahvenanmaa</t>
  </si>
  <si>
    <t>Uusimaa ja Kaakkois-Suomi</t>
  </si>
  <si>
    <t>Koko rannikko</t>
  </si>
  <si>
    <t>LOHI</t>
  </si>
  <si>
    <t>..</t>
  </si>
  <si>
    <t>TAIMEN</t>
  </si>
  <si>
    <t>Sisävedet</t>
  </si>
  <si>
    <t>LAHNA</t>
  </si>
  <si>
    <t>Kokoluokka 00 ( 12 - 17 kpl/kg)</t>
  </si>
  <si>
    <t>Kokoluokka 0 ( 18 - 24 kpl/kg)</t>
  </si>
  <si>
    <t>Kokoluokka I ( &gt; 0,8 kg )</t>
  </si>
  <si>
    <t>Kokoluokka II ( 0,4 - 0,8 kg )</t>
  </si>
  <si>
    <t>Kokoluokka III ( &lt; 0,4 kg )</t>
  </si>
  <si>
    <t>Kokoluokka I ( &gt; 0,25 kg)</t>
  </si>
  <si>
    <t>Kokoluokka II ( &lt; 0,25 kg)</t>
  </si>
  <si>
    <t>Kokoluokka I ( &gt; 1,2 kg )</t>
  </si>
  <si>
    <t>Kokoluokka II ( &lt; 1,2 kg )</t>
  </si>
  <si>
    <t>ELINTARVIKESILAKKA</t>
  </si>
  <si>
    <t>Säyne</t>
  </si>
  <si>
    <t>Elintarvikesilakka</t>
  </si>
  <si>
    <t xml:space="preserve">Peratut </t>
  </si>
  <si>
    <t>Lohi</t>
  </si>
  <si>
    <t>Taimen</t>
  </si>
  <si>
    <t xml:space="preserve">Fileet </t>
  </si>
  <si>
    <t>Mädit</t>
  </si>
  <si>
    <t xml:space="preserve">Perkaamattomat </t>
  </si>
  <si>
    <t>TUOTTEET</t>
  </si>
  <si>
    <t>Perkaamaton I</t>
  </si>
  <si>
    <t>Perkaamaton II</t>
  </si>
  <si>
    <t>Arvonlisäverovähennykset</t>
  </si>
  <si>
    <t>VEROT</t>
  </si>
  <si>
    <t>TYÖKUSTANNUSTEN LASKENTA</t>
  </si>
  <si>
    <t>PYYNTIKAUDEN PITUUS</t>
  </si>
  <si>
    <t>Polttoainekustannus, €/pyyntikausi</t>
  </si>
  <si>
    <t>Myynti, €</t>
  </si>
  <si>
    <t>Jään hinta, €/tn</t>
  </si>
  <si>
    <t xml:space="preserve">JÄIDEN KULUTUS </t>
  </si>
  <si>
    <t>Auton polttoainekustannukset viritysmatkoilla, €</t>
  </si>
  <si>
    <t>RYSIEN VIRITYS</t>
  </si>
  <si>
    <t>RYSIEN POISTO</t>
  </si>
  <si>
    <t>Rysän siirto satamassa</t>
  </si>
  <si>
    <t>Viritysautomatkoihin kulunut aika, h</t>
  </si>
  <si>
    <t>Viritysautomatkojen työkustannus, €</t>
  </si>
  <si>
    <t>Matkat pyyntikaudella yhteensä, km</t>
  </si>
  <si>
    <t>Polttoainekustannus venematkoilla, €</t>
  </si>
  <si>
    <t>Rysien poiston aloituspäivämäärä</t>
  </si>
  <si>
    <t>Rysien poiston lopetuspäivämäärä</t>
  </si>
  <si>
    <t>Automatkat yhteensä, km</t>
  </si>
  <si>
    <t>Venematkoihin kulunut aika viritysmatkoilla, h</t>
  </si>
  <si>
    <t>Venematkojen työkustannus viritysmatkoilla, €</t>
  </si>
  <si>
    <t>Auton polttoainekustannukset rysien poistomatkoilla, €</t>
  </si>
  <si>
    <t>Automatkoihin kulunut aika rysien poistomatkoilla, h</t>
  </si>
  <si>
    <t>Automatkojen työkustannus rysien poistomatkoilla, €</t>
  </si>
  <si>
    <t>Rysän poistomatkat autolla yhteensä, km</t>
  </si>
  <si>
    <t>Rysien poistoon kulunut venematka-aika, h</t>
  </si>
  <si>
    <t>Rysien poiston työkustannus venematkoilla, €</t>
  </si>
  <si>
    <t>Rysien poiston polttoainekulu venematkoilla, €</t>
  </si>
  <si>
    <t>Rysän siirto veneestä säilytykseen, h/rysä</t>
  </si>
  <si>
    <t>Rysän siirto veneeseen satamassa, h/rysä</t>
  </si>
  <si>
    <t>Muun saaliin lajittelu ja pakkaaminen, h/koentakerta</t>
  </si>
  <si>
    <t>Rysien viritykseen liittyvät automatkat</t>
  </si>
  <si>
    <t>Rysien virityksiin liittyvät venematkat</t>
  </si>
  <si>
    <t>Rysien poistoon liittyvät automatkat</t>
  </si>
  <si>
    <t>Automatkoihin kulunut aika pyyntikaudella,h</t>
  </si>
  <si>
    <t>MUUTTUVAT KUSTANNUKSET</t>
  </si>
  <si>
    <t>KIINTEÄT KUSTANNUKSET</t>
  </si>
  <si>
    <t xml:space="preserve"> Kalastustapoihin kohdistetut kustannukset, €</t>
  </si>
  <si>
    <t>kustannukset, €</t>
  </si>
  <si>
    <t>INVESTOINTIEN PÄÄOMAKUSTANNUKSET</t>
  </si>
  <si>
    <t>Aiempien investointien rahoituskustannukset,€</t>
  </si>
  <si>
    <t>RAHOITUSKUSTANNUKSET YHTEENSÄ</t>
  </si>
  <si>
    <t>INVESTOINTIEN PÄÄOMAKUSTANNUKSET YHTEENSÄ</t>
  </si>
  <si>
    <t xml:space="preserve">Kalastuksen kustannukset, € </t>
  </si>
  <si>
    <t>Työkustannukset</t>
  </si>
  <si>
    <t>Polttoainekustannukset</t>
  </si>
  <si>
    <t>Muut muuttuvat kustannukset</t>
  </si>
  <si>
    <t>Muuttuvat kustannukset yhteensä</t>
  </si>
  <si>
    <t>Kunnossapito (sis. puhdistus), korjaus ja uusien rakentaminen</t>
  </si>
  <si>
    <t>TYÖKUSTANNUKSET</t>
  </si>
  <si>
    <t>Rysän poisto pyynnistä, h/rysä</t>
  </si>
  <si>
    <t>Rysien poistoon mennyt aika, h/pyyntikausi</t>
  </si>
  <si>
    <t>Yrityksen yleis-</t>
  </si>
  <si>
    <t xml:space="preserve"> Kalastustapoihin kohdistuvat työt, €</t>
  </si>
  <si>
    <t xml:space="preserve"> Kalastustapoihin kohdistuvat työt, h</t>
  </si>
  <si>
    <t xml:space="preserve">Lajittelu/pakkaus </t>
  </si>
  <si>
    <t>Lajittelu/pakkaus</t>
  </si>
  <si>
    <t>Nettotulos</t>
  </si>
  <si>
    <t>Nettotulos-%</t>
  </si>
  <si>
    <t>Sosiaaliturvamaksu</t>
  </si>
  <si>
    <t>Lomakorvaus</t>
  </si>
  <si>
    <t xml:space="preserve"> Talvi avovesi</t>
  </si>
  <si>
    <t>Hiilidioksidivero, snt/l</t>
  </si>
  <si>
    <t>Energiasisältövero, snt/l</t>
  </si>
  <si>
    <t>Polttoaine</t>
  </si>
  <si>
    <t xml:space="preserve">  </t>
  </si>
  <si>
    <t>Isorysä2</t>
  </si>
  <si>
    <t>PU-rysä2</t>
  </si>
  <si>
    <t>Kustannukset kohdistettuna pyyntitapoihin liikevaihto-osuuden mukaan</t>
  </si>
  <si>
    <t xml:space="preserve">TUOTOT </t>
  </si>
  <si>
    <t>KOENTAKERTAA KOHTI</t>
  </si>
  <si>
    <t>R18</t>
  </si>
  <si>
    <t>H8</t>
  </si>
  <si>
    <t>J8</t>
  </si>
  <si>
    <t>T18</t>
  </si>
  <si>
    <t xml:space="preserve">Edestakainen matka-aika keskimäärin, h </t>
  </si>
  <si>
    <t xml:space="preserve">Edestakainen matka-aika, h </t>
  </si>
  <si>
    <t>Kampela (2009)</t>
  </si>
  <si>
    <t>TUOTTAJAHINTOJA 2011</t>
  </si>
  <si>
    <t>markus.kankainen@rktl.fi</t>
  </si>
  <si>
    <t>puh.</t>
  </si>
  <si>
    <t>Markus Kankainen</t>
  </si>
  <si>
    <t>jari.setala@rktl.fi</t>
  </si>
  <si>
    <t>Jari Setälä</t>
  </si>
  <si>
    <t xml:space="preserve">Lisätietoja saat ohjelman tekijöiltä Riista- ja kalatalouden tutkimuslaitoksen Turun riistan- ja kalantutkimuksesta. </t>
  </si>
  <si>
    <t xml:space="preserve">karkealla tasolla laskea yrityksen kannattavuutta ja harjoitella laskentaohjelman käyttöä. </t>
  </si>
  <si>
    <t>Ohjekirjasta löytyy esimerkkitapauksia ja tarkempia ohjeita. Ohjelmasta on myös nettiversio osoitteessa www.riistakala.fi.</t>
  </si>
  <si>
    <t xml:space="preserve">Solujen täyttöohjeita ja muita neuvoja löydät viemällä kursorin hiirellä soluun, jossa on punainen kommenttimerkki. </t>
  </si>
  <si>
    <t>Laskennan tuloksia on punertavissa soluissa.</t>
  </si>
  <si>
    <t>Kalan arvo, €</t>
  </si>
  <si>
    <t>Kokeile käyttöä</t>
  </si>
  <si>
    <t>Kalan hinta, €/kg</t>
  </si>
  <si>
    <t>Kalan määrä, kg</t>
  </si>
  <si>
    <t>Otsikot ovat ruskeissa tai keltaisissa soluissa.</t>
  </si>
  <si>
    <t>Kalan arvo</t>
  </si>
  <si>
    <t>Muut solut ovat suojattuja.</t>
  </si>
  <si>
    <t>Täytä vain siniset solut.</t>
  </si>
  <si>
    <t>Syötä taulukoihin vain arvonlisäverottomia kustannuksia ja hintoja. Arvonlisäverovähennykset ja maksuun menneet arvonlisäverot näkyvät taulukosta 10.</t>
  </si>
  <si>
    <t>Nyt voit katsoa toiminnan taloudellisia tuloksia taulukosta "8. Taloudellinen tulos". Kuvia kustannuksista löytyy taulukoista 6 ja 7.</t>
  </si>
  <si>
    <t>Täytä kalastustasi koskevat kiinteät kustannukset taulukkoon 7. Muista täyttää myös työajat.</t>
  </si>
  <si>
    <t>Tarkista taulukon 5 kalan alkukäsittelyä koskevat tiedot (saannot, työajat ja jäitys). Muuta luvut tarvittaessa vastaamaan omaa kalastustasi.</t>
  </si>
  <si>
    <t xml:space="preserve">Täytä ensin pyyntitapakohtaiset taulukot 2.1 ja 2.2, jonne syötetään tietoja kalastuksen kustannuksista. Kaikki kustannukset merkitään arvonlisäverottomina. </t>
  </si>
  <si>
    <t>Taulukoiden täyttöjärjestys:</t>
  </si>
  <si>
    <t>Tässä ohjeessa ja taulukoissa liikutaan nuolinäppäimien, hiiren tai vasemmalla laidalla tai alareunassa olevien vyörytyspalkkien avulla.</t>
  </si>
  <si>
    <t xml:space="preserve">Taulukoissa on myös laskennan tuloksia ja ohjelman käyttöä helpottavaa taustatietoa.  </t>
  </si>
  <si>
    <t xml:space="preserve">Ohjelma koostuu tästä ohjeesta ja taulukoista, joihin yrityksen kalastusta ja kustannuksia koskevia tietoja syötetään.   </t>
  </si>
  <si>
    <t>Rannikkokalastuksen kannattavuuslaskentaohjelma auttaa sinua yrityksen kustannusten ja kannattavuuden laskennassa sekä toiminnan suunnittelussa.</t>
  </si>
  <si>
    <t/>
  </si>
  <si>
    <t>RANNIKKOKALASTUKSEN KANNATTAVUUSLASKENTAOHJELMAN KÄYTTÖOHJEET</t>
  </si>
  <si>
    <t xml:space="preserve">Pääomakulut </t>
  </si>
  <si>
    <t xml:space="preserve">Kiinteät kulut </t>
  </si>
  <si>
    <t xml:space="preserve">Tuotot </t>
  </si>
  <si>
    <t>Lainojen korot</t>
  </si>
  <si>
    <t>Kunnossapito, korjaus ja pyydykset (alle 3 v)</t>
  </si>
  <si>
    <t>Käsittely rannassa</t>
  </si>
  <si>
    <t>Kulu, €</t>
  </si>
  <si>
    <t>Työ, €/h</t>
  </si>
  <si>
    <t>Työaika,h</t>
  </si>
  <si>
    <t>Hinta, €/l</t>
  </si>
  <si>
    <t>Kalastusmatkoja, kpl/v</t>
  </si>
  <si>
    <t>Kulutus, l/matka</t>
  </si>
  <si>
    <t>Polttoainelaskuri</t>
  </si>
  <si>
    <t>h/v</t>
  </si>
  <si>
    <t>h/matka</t>
  </si>
  <si>
    <t>Työtuntilaskuri</t>
  </si>
  <si>
    <t>Koko kalastusmatka</t>
  </si>
  <si>
    <t>Paluumatka</t>
  </si>
  <si>
    <t>Lounastauko</t>
  </si>
  <si>
    <t>Pyydysten välillä</t>
  </si>
  <si>
    <t>Koenta</t>
  </si>
  <si>
    <t>Matka pyydyksille</t>
  </si>
  <si>
    <t>arvo, €</t>
  </si>
  <si>
    <t>h/krt</t>
  </si>
  <si>
    <t>Saaliin</t>
  </si>
  <si>
    <t>Apulaskureita</t>
  </si>
  <si>
    <t xml:space="preserve">Kulut merkitään arvonlisäverottomina, paitsi arvonlisäverottomat kalastajat </t>
  </si>
  <si>
    <t>Apulaskureiden avulla voit arvioida kalastusmatkan kustannuksia,</t>
  </si>
  <si>
    <t>Täytä siniset solut, laskennan tulokset ovat punertavissa soluissa.</t>
  </si>
  <si>
    <t>Merkitse hinnat arvonlisäverottomina.</t>
  </si>
  <si>
    <t>merkitsevät kulut arvonlisäverollisina.</t>
  </si>
  <si>
    <t>Talvi avovesi</t>
  </si>
  <si>
    <t>syksy</t>
  </si>
  <si>
    <t>kg/saaliskilo</t>
  </si>
  <si>
    <t>SATAMASSA PERKAUKSEEN, NYLKEMISEEN, FILEOINTIIN JA MÄDIN TALTEENOTTOON KULUNUT TYÖAIKA, H</t>
  </si>
  <si>
    <t>Kustannukset, €</t>
  </si>
  <si>
    <t>Kustannusrakenne, €</t>
  </si>
  <si>
    <t>MYYNTIMÄÄRÄT, TUOTEPAINO, KG</t>
  </si>
  <si>
    <t>Alv. vähennys,€</t>
  </si>
  <si>
    <t>LOHI / TAIMEN</t>
  </si>
  <si>
    <t>SÄRKI</t>
  </si>
  <si>
    <t>KUORE</t>
  </si>
  <si>
    <t>MUU KALA</t>
  </si>
  <si>
    <t>Taloushallinto (kirjanpito, jäsenmaksut ym.)</t>
  </si>
  <si>
    <t>Rakennukset, laitteet ja ajoneuvot ym.</t>
  </si>
  <si>
    <t>Kunnossapito, (sis. puhdistus), korjaus ja uusien rakentaminen</t>
  </si>
  <si>
    <t>Moottorikelkan/mönkijän työkustannus pyyntikaudella, €</t>
  </si>
  <si>
    <t>perkaamatonta</t>
  </si>
  <si>
    <t>Muualla</t>
  </si>
  <si>
    <t>kpl/krt</t>
  </si>
  <si>
    <t>Fileointi, I-siika</t>
  </si>
  <si>
    <t>Fileointi, II-siika</t>
  </si>
  <si>
    <t>Fileointi, III-siika</t>
  </si>
  <si>
    <t>Fileointi, IV-siika</t>
  </si>
  <si>
    <t>Mönkijä / moottorikelkka</t>
  </si>
  <si>
    <t>Isorysä1</t>
  </si>
  <si>
    <t>I8</t>
  </si>
  <si>
    <t>K8</t>
  </si>
  <si>
    <t>Kokoluokka 1 ( 25 - 32 kpl/kg)</t>
  </si>
  <si>
    <t>Kokoluokka 2 (33 - 44 kpl/kg)</t>
  </si>
  <si>
    <t>Kokoluokka 3 (45 - 60 kpl/kg)</t>
  </si>
  <si>
    <t>Kulu, €/v</t>
  </si>
  <si>
    <t>Vesi, sähkö, puhelin, postitus</t>
  </si>
  <si>
    <t>MYYNTI, KG</t>
  </si>
  <si>
    <t>JÄÄN HINTA</t>
  </si>
  <si>
    <t xml:space="preserve">Veneen polttoaineen hinta, €/l </t>
  </si>
  <si>
    <t xml:space="preserve">Auton polttoaineen hinta, €/l </t>
  </si>
  <si>
    <t xml:space="preserve">Moottorikelkan/mönkijän polttoaineen hinta, €/l </t>
  </si>
  <si>
    <t>satamassa</t>
  </si>
  <si>
    <t>Perkaus %</t>
  </si>
  <si>
    <t xml:space="preserve">Varsinaisessa ohjelmassa täytetään taulukot 2-5, 7 ja 10-11, jonka jälkeen kalastuksen taloudellinen tulos näkyy taulukosta 8.  </t>
  </si>
  <si>
    <t>Täytä taulukon 11 tuntipalkkatiedot ja tarkista taulukon 10 polttoaineiden hinnat ja verotiedot.</t>
  </si>
  <si>
    <t>Kulutus, l/100 km</t>
  </si>
  <si>
    <t>Kalastusmatkat</t>
  </si>
  <si>
    <t>Kalan käsittely rannassa</t>
  </si>
  <si>
    <t>Kulutus, l/h</t>
  </si>
  <si>
    <t>Venematkan kesto</t>
  </si>
  <si>
    <t>Matkan pituus, km/matka</t>
  </si>
  <si>
    <t xml:space="preserve">Nettotulos </t>
  </si>
  <si>
    <t>NETTOTULOS</t>
  </si>
  <si>
    <t xml:space="preserve">NETTOTULOS </t>
  </si>
  <si>
    <t>jotta kannattavuuslaskelman muuttujasolujen arvoja on helpompi täyttää.</t>
  </si>
  <si>
    <t>Kannattavuuslaskelma</t>
  </si>
  <si>
    <t>Kalastusmatkakulut</t>
  </si>
  <si>
    <t>Automatkakulut</t>
  </si>
  <si>
    <t>Kulutus:</t>
  </si>
  <si>
    <t>Kulutus kalastusmatkalla</t>
  </si>
  <si>
    <t>Kulutus automatkalla</t>
  </si>
  <si>
    <t>Kalastuspalkat</t>
  </si>
  <si>
    <t xml:space="preserve">Muut muuttuvat kulut </t>
  </si>
  <si>
    <t>Työaika, h</t>
  </si>
  <si>
    <t>Yrittäjän työtunnit, h</t>
  </si>
  <si>
    <t>Yrittäjän osuus työtunneista, %</t>
  </si>
  <si>
    <t>Kalastukseen kulunut työaika/v</t>
  </si>
  <si>
    <t>Muut työt/v</t>
  </si>
  <si>
    <t>Arvonlisäverolaskuri</t>
  </si>
  <si>
    <t>Arvonlisävero</t>
  </si>
  <si>
    <t>Arvonlisäverokanta</t>
  </si>
  <si>
    <t>Kalan kuljetukset</t>
  </si>
  <si>
    <t>TyEL eläkevakuutusmaksu</t>
  </si>
  <si>
    <t>nousee liukuvasti</t>
  </si>
  <si>
    <t>alle 53 v, %</t>
  </si>
  <si>
    <t>yli 53 v, %</t>
  </si>
  <si>
    <t>Lisäksi voi olla muita sosiaalikuluja ja vapaaehtoisia sivukuluja ja vakuutuksia.</t>
  </si>
  <si>
    <t xml:space="preserve">Sairausvakuutusmaksu </t>
  </si>
  <si>
    <t>min</t>
  </si>
  <si>
    <t>maks</t>
  </si>
  <si>
    <t xml:space="preserve">Sivukulut </t>
  </si>
  <si>
    <t>Pakolliset min</t>
  </si>
  <si>
    <t xml:space="preserve"> (Työntekijät vakuutetaan TyEL mukaan)</t>
  </si>
  <si>
    <t>Yrittäjä: MYEL-vakuutus perustuu MyEL-työtuloon</t>
  </si>
  <si>
    <t>Kunnossapito, korjaus ja pyydyshankinnat (alle 3 v.)</t>
  </si>
  <si>
    <t>Pakolliset max</t>
  </si>
  <si>
    <t>Työaika vuodessa</t>
  </si>
  <si>
    <t>Työaika vuodessa yhteensä</t>
  </si>
  <si>
    <t xml:space="preserve">Taulukossa 1 on yksinkertainen rannikkokalastuksen kannattavuuslaskentamalli, jolla voit </t>
  </si>
  <si>
    <t>25 588-40 209 € työtulot</t>
  </si>
  <si>
    <t>MYEL vakuutetuilla on MATA työtapaturmavakuutus</t>
  </si>
  <si>
    <t>alle 25 588 € työtulosta</t>
  </si>
  <si>
    <t>40 209 € ylittävältä osalta</t>
  </si>
  <si>
    <t>32,34 € + 1,65 % työtulosta</t>
  </si>
  <si>
    <t>Muut investoinnit (esim. hygieniainvestoinnit)</t>
  </si>
  <si>
    <t>Arvo, € (sis. alv)</t>
  </si>
  <si>
    <t>Arvo, € (ilman alv.)</t>
  </si>
  <si>
    <t>Arvo, €</t>
  </si>
  <si>
    <t>Verkko1</t>
  </si>
  <si>
    <t xml:space="preserve">Päivitetty 1.1.2013 </t>
  </si>
  <si>
    <t>Muut kiinteät kustannukset</t>
  </si>
  <si>
    <t>Uusinvestointien rahoituskustannukset</t>
  </si>
  <si>
    <t>Aiempien investointien rahoituskustannukset yhteensä</t>
  </si>
  <si>
    <t>Uusinvestointien rahoituskustannukset yhteensä</t>
  </si>
  <si>
    <t xml:space="preserve">Uusinvestointien rahoituskustannukset  </t>
  </si>
  <si>
    <t xml:space="preserve">  Kalastustapoihin kohdistetut kustannukset,  €</t>
  </si>
  <si>
    <t>Rahoituskustannukset</t>
  </si>
  <si>
    <t>Polttoainekustannus, sis. alv, €</t>
  </si>
  <si>
    <t>Polttoainekustannus vähennysten jälkeen, €</t>
  </si>
  <si>
    <t>Muuttuvat kulut eriteltynä</t>
  </si>
  <si>
    <t>Kiinteät kulut eriteltynä</t>
  </si>
  <si>
    <t>Pääomakulut eriteltynä</t>
  </si>
  <si>
    <t>Pääomakulut</t>
  </si>
  <si>
    <t>Jääkustannus €</t>
  </si>
  <si>
    <t>Rysien poiston polttoainekustannus venematkoilla, €</t>
  </si>
  <si>
    <t>Jääkustannus, €</t>
  </si>
  <si>
    <t>Satamassa menevä palkkakustannus pyyntikaudessa, €</t>
  </si>
  <si>
    <t>Automatkojen palkkakustannus,€/pyyntikausi</t>
  </si>
  <si>
    <t>Polttoainekustannus auto + venematka, €</t>
  </si>
  <si>
    <t>Automatkojen palkkakustannus, €/pyyntikausi</t>
  </si>
  <si>
    <t xml:space="preserve">  Kalastustapoihin kohdistetut kustannukset, €</t>
  </si>
  <si>
    <t>Työkustannus sivukuluineen, €</t>
  </si>
  <si>
    <t>Kaikki työkustannukset</t>
  </si>
  <si>
    <t>Palkat ja omat eläkemaksut</t>
  </si>
  <si>
    <t>Yrittäjän bruttotuntiansio, €/h</t>
  </si>
  <si>
    <t>Täytä taulukon 3 saalistiedot. Tarkista, että vain käytetylle pyyntimuodoille ja -kausille on merkittynä saalista. Poista muut merkinnät. Tarkista kuvista, että saalistiedot tuli oikein täytetyksi.</t>
  </si>
  <si>
    <t>Myy saalis taulukossa 4. Täytä myös myyntihinnat (ilman alv). Kalan hintatilastoja löytyy taulukosta 12. Katso myös myynnin arvoa koskevat kuvat.</t>
  </si>
  <si>
    <t>Bruttotuntiansio, €/h</t>
  </si>
  <si>
    <r>
      <t>Kokoluokka IV ( &lt; 0,25 kg )</t>
    </r>
    <r>
      <rPr>
        <b/>
        <vertAlign val="superscript"/>
        <sz val="10"/>
        <rFont val="Arial"/>
        <family val="2"/>
      </rPr>
      <t xml:space="preserve"> </t>
    </r>
  </si>
  <si>
    <t xml:space="preserve">Avaa taulukot näpäyttämällä hiirellä taulukko-otsikoita alapalkista. Taulukot 6-12 saat näkyviin näpäyttämällä hiirellä alapalkin nuolia. </t>
  </si>
  <si>
    <t>0295327682</t>
  </si>
  <si>
    <t>0295327687</t>
  </si>
  <si>
    <t>PU-rysä1</t>
  </si>
  <si>
    <t>Verkko2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</si>
</sst>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_-;\-* #,##0.00\ _€_-;_-* &quot;-&quot;??\ _€_-;_-@_-"/>
    <numFmt numFmtId="165" formatCode="#,##0.0"/>
    <numFmt numFmtId="166" formatCode="0.0"/>
    <numFmt numFmtId="167" formatCode="0_ ;[Red]\-0\ "/>
    <numFmt numFmtId="168" formatCode="#,##0_ ;[Red]\-#,##0\ "/>
    <numFmt numFmtId="169" formatCode="0.0000\ %"/>
    <numFmt numFmtId="170" formatCode="0.0\ %"/>
    <numFmt numFmtId="171" formatCode="0;\-0;;@"/>
    <numFmt numFmtId="172" formatCode="#,##0\ &quot;€&quot;"/>
  </numFmts>
  <fonts count="62" x14ac:knownFonts="1">
    <font>
      <sz val="10"/>
      <name val="Arial"/>
    </font>
    <font>
      <sz val="10"/>
      <name val="Arial"/>
      <family val="2"/>
    </font>
    <font>
      <b/>
      <sz val="10"/>
      <name val="Arial"/>
      <family val="2"/>
    </font>
    <font>
      <b/>
      <sz val="16"/>
      <name val="Arial"/>
      <family val="2"/>
    </font>
    <font>
      <sz val="16"/>
      <name val="Arial"/>
      <family val="2"/>
    </font>
    <font>
      <sz val="8"/>
      <color indexed="81"/>
      <name val="Tahoma"/>
      <family val="2"/>
    </font>
    <font>
      <b/>
      <sz val="10"/>
      <name val="Arial"/>
      <family val="2"/>
    </font>
    <font>
      <b/>
      <i/>
      <sz val="10"/>
      <name val="Arial"/>
      <family val="2"/>
    </font>
    <font>
      <b/>
      <sz val="14"/>
      <name val="Arial"/>
      <family val="2"/>
    </font>
    <font>
      <sz val="10"/>
      <name val="Arial"/>
      <family val="2"/>
    </font>
    <font>
      <b/>
      <i/>
      <sz val="10"/>
      <name val="Arial"/>
      <family val="2"/>
    </font>
    <font>
      <sz val="10"/>
      <color indexed="9"/>
      <name val="Arial"/>
      <family val="2"/>
    </font>
    <font>
      <b/>
      <sz val="18"/>
      <name val="Arial"/>
      <family val="2"/>
    </font>
    <font>
      <sz val="18"/>
      <name val="Arial"/>
      <family val="2"/>
    </font>
    <font>
      <sz val="10"/>
      <color indexed="43"/>
      <name val="Arial"/>
      <family val="2"/>
    </font>
    <font>
      <u/>
      <sz val="10"/>
      <color indexed="12"/>
      <name val="Arial"/>
      <family val="2"/>
    </font>
    <font>
      <sz val="8"/>
      <name val="Arial"/>
      <family val="2"/>
    </font>
    <font>
      <b/>
      <sz val="9"/>
      <name val="Arial"/>
      <family val="2"/>
    </font>
    <font>
      <b/>
      <sz val="12"/>
      <name val="Arial"/>
      <family val="2"/>
    </font>
    <font>
      <sz val="18"/>
      <name val="Arial"/>
      <family val="2"/>
    </font>
    <font>
      <b/>
      <sz val="8"/>
      <name val="Arial"/>
      <family val="2"/>
    </font>
    <font>
      <i/>
      <sz val="8"/>
      <name val="Arial"/>
      <family val="2"/>
    </font>
    <font>
      <b/>
      <i/>
      <sz val="8"/>
      <name val="Arial"/>
      <family val="2"/>
    </font>
    <font>
      <sz val="9"/>
      <name val="Arial"/>
      <family val="2"/>
    </font>
    <font>
      <sz val="9"/>
      <name val="Arial"/>
      <family val="2"/>
    </font>
    <font>
      <b/>
      <sz val="9"/>
      <color indexed="10"/>
      <name val="Arial"/>
      <family val="2"/>
    </font>
    <font>
      <b/>
      <sz val="10"/>
      <color indexed="10"/>
      <name val="Arial"/>
      <family val="2"/>
    </font>
    <font>
      <sz val="10"/>
      <name val="MS Sans Serif"/>
      <family val="2"/>
    </font>
    <font>
      <sz val="10"/>
      <color indexed="8"/>
      <name val="Arial"/>
      <family val="2"/>
    </font>
    <font>
      <sz val="10"/>
      <name val="Arial Narrow"/>
      <family val="2"/>
    </font>
    <font>
      <sz val="10"/>
      <name val="MS Sans Serif"/>
      <family val="2"/>
    </font>
    <font>
      <b/>
      <sz val="10"/>
      <color indexed="8"/>
      <name val="Arial"/>
      <family val="2"/>
    </font>
    <font>
      <b/>
      <vertAlign val="superscript"/>
      <sz val="10"/>
      <name val="Arial"/>
      <family val="2"/>
    </font>
    <font>
      <b/>
      <sz val="10"/>
      <name val="Arial Narrow"/>
      <family val="2"/>
    </font>
    <font>
      <sz val="9"/>
      <color indexed="81"/>
      <name val="Tahoma"/>
      <family val="2"/>
    </font>
    <font>
      <b/>
      <i/>
      <sz val="9"/>
      <name val="Arial"/>
      <family val="2"/>
    </font>
    <font>
      <i/>
      <sz val="9"/>
      <name val="Arial"/>
      <family val="2"/>
    </font>
    <font>
      <b/>
      <sz val="9.5"/>
      <name val="Arial"/>
      <family val="2"/>
    </font>
    <font>
      <sz val="14"/>
      <name val="Arial"/>
      <family val="2"/>
    </font>
    <font>
      <sz val="8.5"/>
      <name val="Arial"/>
      <family val="2"/>
    </font>
    <font>
      <b/>
      <sz val="8.5"/>
      <color indexed="10"/>
      <name val="Arial"/>
      <family val="2"/>
    </font>
    <font>
      <sz val="10"/>
      <name val="Arial"/>
      <family val="2"/>
    </font>
    <font>
      <sz val="10"/>
      <color indexed="13"/>
      <name val="Arial"/>
      <family val="2"/>
    </font>
    <font>
      <b/>
      <sz val="10"/>
      <color indexed="12"/>
      <name val="Arial"/>
      <family val="2"/>
    </font>
    <font>
      <sz val="12"/>
      <name val="Arial"/>
      <family val="2"/>
    </font>
    <font>
      <b/>
      <sz val="11"/>
      <name val="Arial"/>
      <family val="2"/>
    </font>
    <font>
      <b/>
      <sz val="10.5"/>
      <name val="Arial"/>
      <family val="2"/>
    </font>
    <font>
      <sz val="10.5"/>
      <name val="Arial"/>
      <family val="2"/>
    </font>
    <font>
      <sz val="9.5"/>
      <name val="Arial"/>
      <family val="2"/>
    </font>
    <font>
      <sz val="10"/>
      <color indexed="81"/>
      <name val="Tahoma"/>
      <family val="2"/>
    </font>
    <font>
      <sz val="11"/>
      <color indexed="81"/>
      <name val="Tahoma"/>
      <family val="2"/>
    </font>
    <font>
      <sz val="11"/>
      <name val="Arial"/>
      <family val="2"/>
    </font>
    <font>
      <sz val="11"/>
      <color theme="1"/>
      <name val="Calibri"/>
      <family val="2"/>
      <scheme val="minor"/>
    </font>
    <font>
      <sz val="10"/>
      <color rgb="FFFF0000"/>
      <name val="Arial"/>
      <family val="2"/>
    </font>
    <font>
      <sz val="10"/>
      <color rgb="FF00B050"/>
      <name val="Arial"/>
      <family val="2"/>
    </font>
    <font>
      <b/>
      <i/>
      <sz val="10"/>
      <color theme="1"/>
      <name val="Arial"/>
      <family val="2"/>
    </font>
    <font>
      <b/>
      <sz val="10"/>
      <color theme="1"/>
      <name val="Arial"/>
      <family val="2"/>
    </font>
    <font>
      <sz val="11"/>
      <color theme="1"/>
      <name val="Arial"/>
      <family val="2"/>
    </font>
    <font>
      <sz val="10"/>
      <color theme="0" tint="-4.9989318521683403E-2"/>
      <name val="Arial"/>
      <family val="2"/>
    </font>
    <font>
      <vertAlign val="superscript"/>
      <sz val="8"/>
      <color theme="2" tint="-9.9978637043366805E-2"/>
      <name val="Arial"/>
      <family val="2"/>
    </font>
    <font>
      <b/>
      <sz val="10"/>
      <color indexed="81"/>
      <name val="Tahoma"/>
      <family val="2"/>
    </font>
    <font>
      <sz val="8"/>
      <color rgb="FFC0CCCC"/>
      <name val="Arial"/>
      <family val="2"/>
    </font>
  </fonts>
  <fills count="18">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10"/>
        <bgColor indexed="64"/>
      </patternFill>
    </fill>
    <fill>
      <patternFill patternType="solid">
        <fgColor indexed="13"/>
        <bgColor indexed="64"/>
      </patternFill>
    </fill>
    <fill>
      <patternFill patternType="solid">
        <fgColor indexed="57"/>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theme="9" tint="0.39997558519241921"/>
        <bgColor indexed="64"/>
      </patternFill>
    </fill>
    <fill>
      <patternFill patternType="solid">
        <fgColor rgb="FFF9E7D7"/>
        <bgColor indexed="64"/>
      </patternFill>
    </fill>
    <fill>
      <patternFill patternType="solid">
        <fgColor rgb="FF33CCCC"/>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9E7D7"/>
        <bgColor indexed="8"/>
      </patternFill>
    </fill>
  </fills>
  <borders count="81">
    <border>
      <left/>
      <right/>
      <top/>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top/>
      <bottom/>
      <diagonal/>
    </border>
    <border>
      <left style="thin">
        <color indexed="64"/>
      </left>
      <right/>
      <top style="medium">
        <color indexed="64"/>
      </top>
      <bottom/>
      <diagonal/>
    </border>
  </borders>
  <cellStyleXfs count="15">
    <xf numFmtId="0" fontId="0" fillId="0" borderId="0"/>
    <xf numFmtId="164" fontId="1" fillId="0" borderId="0" applyFont="0" applyFill="0" applyBorder="0" applyAlignment="0" applyProtection="0"/>
    <xf numFmtId="164" fontId="41" fillId="0" borderId="0" applyFont="0" applyFill="0" applyBorder="0" applyAlignment="0" applyProtection="0"/>
    <xf numFmtId="0" fontId="15" fillId="0" borderId="0" applyNumberFormat="0" applyFill="0" applyBorder="0" applyAlignment="0" applyProtection="0">
      <alignment vertical="top"/>
      <protection locked="0"/>
    </xf>
    <xf numFmtId="0" fontId="41" fillId="0" borderId="0"/>
    <xf numFmtId="0" fontId="52" fillId="0" borderId="0"/>
    <xf numFmtId="0" fontId="9" fillId="0" borderId="0"/>
    <xf numFmtId="0" fontId="28" fillId="0" borderId="0"/>
    <xf numFmtId="0" fontId="27" fillId="0" borderId="0"/>
    <xf numFmtId="0" fontId="27" fillId="0" borderId="0"/>
    <xf numFmtId="0" fontId="28" fillId="0" borderId="0"/>
    <xf numFmtId="9" fontId="1" fillId="0" borderId="0" applyFont="0" applyFill="0" applyBorder="0" applyAlignment="0" applyProtection="0"/>
    <xf numFmtId="9" fontId="41" fillId="0" borderId="0" applyFont="0" applyFill="0" applyBorder="0" applyAlignment="0" applyProtection="0"/>
    <xf numFmtId="9" fontId="9" fillId="0" borderId="0" applyFont="0" applyFill="0" applyBorder="0" applyAlignment="0" applyProtection="0"/>
    <xf numFmtId="0" fontId="1" fillId="0" borderId="0"/>
  </cellStyleXfs>
  <cellXfs count="1697">
    <xf numFmtId="0" fontId="0" fillId="0" borderId="0" xfId="0"/>
    <xf numFmtId="0" fontId="3" fillId="2" borderId="1" xfId="0" applyFont="1" applyFill="1" applyBorder="1"/>
    <xf numFmtId="0" fontId="1" fillId="3" borderId="2" xfId="0" applyFont="1" applyFill="1" applyBorder="1"/>
    <xf numFmtId="0" fontId="0" fillId="3" borderId="2" xfId="0" applyFill="1" applyBorder="1"/>
    <xf numFmtId="0" fontId="0" fillId="3" borderId="0" xfId="0" applyFill="1"/>
    <xf numFmtId="0" fontId="2" fillId="3" borderId="3" xfId="0" applyFont="1" applyFill="1" applyBorder="1"/>
    <xf numFmtId="0" fontId="0" fillId="3" borderId="4" xfId="0" applyFill="1" applyBorder="1"/>
    <xf numFmtId="0" fontId="0" fillId="3" borderId="5" xfId="0" applyFill="1" applyBorder="1"/>
    <xf numFmtId="0" fontId="2" fillId="3" borderId="1" xfId="0" applyFont="1" applyFill="1" applyBorder="1"/>
    <xf numFmtId="0" fontId="6" fillId="3" borderId="3" xfId="0" applyFont="1" applyFill="1" applyBorder="1"/>
    <xf numFmtId="0" fontId="0" fillId="3" borderId="7" xfId="0" applyFill="1" applyBorder="1"/>
    <xf numFmtId="0" fontId="4" fillId="2" borderId="7" xfId="0" applyFont="1" applyFill="1" applyBorder="1"/>
    <xf numFmtId="0" fontId="9" fillId="3" borderId="2" xfId="0" applyFont="1" applyFill="1" applyBorder="1"/>
    <xf numFmtId="0" fontId="2" fillId="3" borderId="8" xfId="0" applyFont="1" applyFill="1" applyBorder="1"/>
    <xf numFmtId="0" fontId="0" fillId="3" borderId="9" xfId="0" applyFill="1" applyBorder="1"/>
    <xf numFmtId="0" fontId="0" fillId="5" borderId="0" xfId="0" applyFill="1"/>
    <xf numFmtId="0" fontId="0" fillId="3" borderId="10" xfId="0" applyFill="1" applyBorder="1"/>
    <xf numFmtId="0" fontId="0" fillId="3" borderId="11" xfId="0" applyFill="1" applyBorder="1"/>
    <xf numFmtId="0" fontId="0" fillId="3" borderId="12" xfId="0" applyFill="1" applyBorder="1"/>
    <xf numFmtId="0" fontId="0" fillId="3" borderId="8" xfId="0" applyFill="1" applyBorder="1"/>
    <xf numFmtId="0" fontId="0" fillId="3" borderId="13" xfId="0" applyFill="1" applyBorder="1"/>
    <xf numFmtId="0" fontId="6" fillId="3" borderId="2" xfId="0" applyFont="1" applyFill="1" applyBorder="1"/>
    <xf numFmtId="0" fontId="1" fillId="3" borderId="5" xfId="0" applyFont="1" applyFill="1" applyBorder="1"/>
    <xf numFmtId="0" fontId="1" fillId="3" borderId="13" xfId="0" applyFont="1" applyFill="1" applyBorder="1"/>
    <xf numFmtId="0" fontId="11" fillId="0" borderId="0" xfId="0" applyFont="1"/>
    <xf numFmtId="0" fontId="0" fillId="3" borderId="14" xfId="0" applyFill="1" applyBorder="1"/>
    <xf numFmtId="0" fontId="0" fillId="3" borderId="4" xfId="0" applyFill="1" applyBorder="1" applyAlignment="1">
      <alignment horizontal="right"/>
    </xf>
    <xf numFmtId="3" fontId="0" fillId="0" borderId="0" xfId="0" applyNumberFormat="1"/>
    <xf numFmtId="0" fontId="2" fillId="3" borderId="13" xfId="0" applyFont="1" applyFill="1" applyBorder="1"/>
    <xf numFmtId="0" fontId="2" fillId="3" borderId="0" xfId="0" applyFont="1" applyFill="1" applyAlignment="1">
      <alignment horizontal="center"/>
    </xf>
    <xf numFmtId="0" fontId="2" fillId="3" borderId="6" xfId="0" applyFont="1" applyFill="1" applyBorder="1"/>
    <xf numFmtId="3" fontId="9" fillId="3" borderId="15" xfId="0" applyNumberFormat="1" applyFont="1" applyFill="1" applyBorder="1"/>
    <xf numFmtId="0" fontId="12" fillId="2" borderId="6" xfId="0" applyFont="1" applyFill="1" applyBorder="1"/>
    <xf numFmtId="3" fontId="2" fillId="3" borderId="15" xfId="0" applyNumberFormat="1" applyFont="1" applyFill="1" applyBorder="1"/>
    <xf numFmtId="0" fontId="2" fillId="0" borderId="0" xfId="0" applyFont="1"/>
    <xf numFmtId="166" fontId="0" fillId="0" borderId="0" xfId="0" applyNumberFormat="1"/>
    <xf numFmtId="0" fontId="2" fillId="3" borderId="4" xfId="0" applyFont="1" applyFill="1" applyBorder="1"/>
    <xf numFmtId="0" fontId="13" fillId="0" borderId="0" xfId="0" applyFont="1"/>
    <xf numFmtId="0" fontId="0" fillId="3" borderId="6" xfId="0" applyFill="1" applyBorder="1"/>
    <xf numFmtId="0" fontId="12" fillId="0" borderId="0" xfId="0" applyFont="1"/>
    <xf numFmtId="0" fontId="2" fillId="3" borderId="5" xfId="0" applyFont="1" applyFill="1" applyBorder="1"/>
    <xf numFmtId="0" fontId="2" fillId="3" borderId="12" xfId="0" applyFont="1" applyFill="1" applyBorder="1"/>
    <xf numFmtId="0" fontId="12" fillId="3" borderId="7" xfId="0" applyFont="1" applyFill="1" applyBorder="1"/>
    <xf numFmtId="0" fontId="0" fillId="0" borderId="9" xfId="0" applyBorder="1"/>
    <xf numFmtId="0" fontId="2" fillId="3" borderId="25" xfId="0" applyFont="1" applyFill="1" applyBorder="1"/>
    <xf numFmtId="16" fontId="2" fillId="0" borderId="0" xfId="0" applyNumberFormat="1" applyFont="1"/>
    <xf numFmtId="166" fontId="2" fillId="0" borderId="0" xfId="0" applyNumberFormat="1" applyFont="1"/>
    <xf numFmtId="0" fontId="14" fillId="3" borderId="1" xfId="0" applyFont="1" applyFill="1" applyBorder="1"/>
    <xf numFmtId="0" fontId="14" fillId="3" borderId="12" xfId="0" applyFont="1" applyFill="1" applyBorder="1"/>
    <xf numFmtId="0" fontId="14" fillId="3" borderId="7" xfId="0" applyFont="1" applyFill="1" applyBorder="1"/>
    <xf numFmtId="0" fontId="2" fillId="3" borderId="14" xfId="0" applyFont="1" applyFill="1" applyBorder="1" applyAlignment="1">
      <alignment horizontal="center"/>
    </xf>
    <xf numFmtId="0" fontId="2" fillId="3" borderId="25"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14" xfId="0" applyFont="1" applyFill="1" applyBorder="1"/>
    <xf numFmtId="0" fontId="2" fillId="3" borderId="10" xfId="0" applyFont="1" applyFill="1" applyBorder="1" applyAlignment="1">
      <alignment horizontal="center"/>
    </xf>
    <xf numFmtId="0" fontId="2" fillId="3" borderId="11" xfId="0" applyFont="1" applyFill="1" applyBorder="1"/>
    <xf numFmtId="0" fontId="2" fillId="3" borderId="2" xfId="0" applyFont="1" applyFill="1" applyBorder="1"/>
    <xf numFmtId="0" fontId="2" fillId="3" borderId="7" xfId="0" applyFont="1" applyFill="1" applyBorder="1"/>
    <xf numFmtId="0" fontId="2" fillId="3" borderId="10" xfId="0" applyFont="1" applyFill="1" applyBorder="1"/>
    <xf numFmtId="16" fontId="0" fillId="3" borderId="8" xfId="0" applyNumberFormat="1" applyFill="1" applyBorder="1"/>
    <xf numFmtId="0" fontId="2" fillId="6" borderId="1" xfId="0" applyFont="1" applyFill="1" applyBorder="1"/>
    <xf numFmtId="0" fontId="0" fillId="6" borderId="12" xfId="0" applyFill="1" applyBorder="1"/>
    <xf numFmtId="0" fontId="0" fillId="6" borderId="7" xfId="0" applyFill="1" applyBorder="1" applyAlignment="1">
      <alignment horizontal="right"/>
    </xf>
    <xf numFmtId="0" fontId="0" fillId="3" borderId="29" xfId="0" applyFill="1" applyBorder="1"/>
    <xf numFmtId="0" fontId="0" fillId="6" borderId="7" xfId="0" applyFill="1" applyBorder="1"/>
    <xf numFmtId="1" fontId="9" fillId="3" borderId="10" xfId="0" applyNumberFormat="1" applyFont="1" applyFill="1" applyBorder="1" applyAlignment="1">
      <alignment horizontal="right"/>
    </xf>
    <xf numFmtId="0" fontId="2" fillId="6" borderId="12" xfId="0" applyFont="1" applyFill="1" applyBorder="1"/>
    <xf numFmtId="0" fontId="2" fillId="3" borderId="0" xfId="0" applyFont="1" applyFill="1"/>
    <xf numFmtId="0" fontId="2" fillId="3" borderId="13" xfId="0" applyFont="1" applyFill="1" applyBorder="1" applyAlignment="1">
      <alignment horizontal="center"/>
    </xf>
    <xf numFmtId="3" fontId="2" fillId="3" borderId="30" xfId="0" applyNumberFormat="1" applyFont="1" applyFill="1" applyBorder="1"/>
    <xf numFmtId="3" fontId="2" fillId="3" borderId="31" xfId="0" applyNumberFormat="1" applyFont="1" applyFill="1" applyBorder="1"/>
    <xf numFmtId="0" fontId="2" fillId="3" borderId="32" xfId="0" applyFont="1" applyFill="1" applyBorder="1"/>
    <xf numFmtId="0" fontId="2" fillId="3" borderId="4" xfId="0" applyFont="1" applyFill="1" applyBorder="1" applyAlignment="1">
      <alignment horizontal="left"/>
    </xf>
    <xf numFmtId="0" fontId="2" fillId="3" borderId="10" xfId="0" applyFont="1" applyFill="1" applyBorder="1" applyAlignment="1">
      <alignment horizontal="left"/>
    </xf>
    <xf numFmtId="2" fontId="0" fillId="0" borderId="0" xfId="0" applyNumberFormat="1"/>
    <xf numFmtId="0" fontId="2" fillId="3" borderId="9" xfId="0" applyFont="1" applyFill="1" applyBorder="1"/>
    <xf numFmtId="0" fontId="2" fillId="3" borderId="8" xfId="0" applyFont="1" applyFill="1" applyBorder="1" applyAlignment="1">
      <alignment horizontal="left"/>
    </xf>
    <xf numFmtId="0" fontId="2" fillId="3" borderId="49" xfId="0" applyFont="1" applyFill="1" applyBorder="1"/>
    <xf numFmtId="3" fontId="2" fillId="3" borderId="50" xfId="0" applyNumberFormat="1" applyFont="1" applyFill="1" applyBorder="1"/>
    <xf numFmtId="0" fontId="2" fillId="3" borderId="51" xfId="0" applyFont="1" applyFill="1" applyBorder="1"/>
    <xf numFmtId="0" fontId="2" fillId="3" borderId="8" xfId="0" applyFont="1" applyFill="1" applyBorder="1" applyAlignment="1">
      <alignment horizontal="center"/>
    </xf>
    <xf numFmtId="3" fontId="2" fillId="3" borderId="49" xfId="0" applyNumberFormat="1" applyFont="1" applyFill="1" applyBorder="1"/>
    <xf numFmtId="0" fontId="2" fillId="3" borderId="3" xfId="0" applyFont="1" applyFill="1" applyBorder="1" applyAlignment="1">
      <alignment horizontal="center"/>
    </xf>
    <xf numFmtId="3" fontId="2" fillId="3" borderId="39" xfId="0" applyNumberFormat="1" applyFont="1" applyFill="1" applyBorder="1"/>
    <xf numFmtId="3" fontId="2" fillId="3" borderId="40" xfId="0" applyNumberFormat="1" applyFont="1" applyFill="1" applyBorder="1"/>
    <xf numFmtId="3" fontId="2" fillId="3" borderId="41" xfId="0" applyNumberFormat="1" applyFont="1" applyFill="1" applyBorder="1"/>
    <xf numFmtId="3" fontId="2" fillId="0" borderId="0" xfId="0" applyNumberFormat="1" applyFont="1"/>
    <xf numFmtId="168" fontId="0" fillId="0" borderId="0" xfId="0" applyNumberFormat="1"/>
    <xf numFmtId="0" fontId="12" fillId="2" borderId="1" xfId="0" applyFont="1" applyFill="1" applyBorder="1"/>
    <xf numFmtId="0" fontId="3" fillId="2" borderId="6" xfId="0" applyFont="1" applyFill="1" applyBorder="1"/>
    <xf numFmtId="0" fontId="9" fillId="3" borderId="3" xfId="0" applyFont="1" applyFill="1" applyBorder="1"/>
    <xf numFmtId="0" fontId="9" fillId="3" borderId="5" xfId="0" applyFont="1" applyFill="1" applyBorder="1"/>
    <xf numFmtId="0" fontId="9" fillId="3" borderId="1" xfId="0" applyFont="1" applyFill="1" applyBorder="1"/>
    <xf numFmtId="0" fontId="2" fillId="6" borderId="3" xfId="0" applyFont="1" applyFill="1" applyBorder="1"/>
    <xf numFmtId="0" fontId="0" fillId="6" borderId="2" xfId="0" applyFill="1" applyBorder="1"/>
    <xf numFmtId="3" fontId="2" fillId="3" borderId="37" xfId="0" applyNumberFormat="1" applyFont="1" applyFill="1" applyBorder="1"/>
    <xf numFmtId="3" fontId="2" fillId="3" borderId="38" xfId="0" applyNumberFormat="1" applyFont="1" applyFill="1" applyBorder="1"/>
    <xf numFmtId="0" fontId="9" fillId="3" borderId="15" xfId="0" applyFont="1" applyFill="1" applyBorder="1"/>
    <xf numFmtId="0" fontId="9" fillId="3" borderId="54" xfId="0" applyFont="1" applyFill="1" applyBorder="1"/>
    <xf numFmtId="0" fontId="9" fillId="3" borderId="6" xfId="0" applyFont="1" applyFill="1" applyBorder="1"/>
    <xf numFmtId="0" fontId="9" fillId="3" borderId="57" xfId="0" applyFont="1" applyFill="1" applyBorder="1"/>
    <xf numFmtId="0" fontId="2" fillId="6" borderId="5" xfId="0" applyFont="1" applyFill="1" applyBorder="1"/>
    <xf numFmtId="0" fontId="2" fillId="6" borderId="6" xfId="0" applyFont="1" applyFill="1" applyBorder="1"/>
    <xf numFmtId="0" fontId="9" fillId="3" borderId="14" xfId="0" applyFont="1" applyFill="1" applyBorder="1"/>
    <xf numFmtId="0" fontId="2" fillId="3" borderId="4" xfId="0" applyFont="1" applyFill="1" applyBorder="1" applyAlignment="1">
      <alignment horizontal="right"/>
    </xf>
    <xf numFmtId="1" fontId="0" fillId="0" borderId="0" xfId="0" applyNumberFormat="1"/>
    <xf numFmtId="1" fontId="2" fillId="3" borderId="8" xfId="0" applyNumberFormat="1" applyFont="1" applyFill="1" applyBorder="1" applyAlignment="1">
      <alignment horizontal="center"/>
    </xf>
    <xf numFmtId="1" fontId="2" fillId="3" borderId="8" xfId="0" applyNumberFormat="1" applyFont="1" applyFill="1" applyBorder="1" applyAlignment="1">
      <alignment horizontal="right"/>
    </xf>
    <xf numFmtId="0" fontId="0" fillId="3" borderId="2" xfId="0" applyFill="1" applyBorder="1" applyAlignment="1">
      <alignment horizontal="center"/>
    </xf>
    <xf numFmtId="0" fontId="2" fillId="3" borderId="2" xfId="0" applyFont="1" applyFill="1" applyBorder="1" applyAlignment="1">
      <alignment horizontal="left"/>
    </xf>
    <xf numFmtId="0" fontId="2" fillId="3" borderId="5" xfId="0" applyFont="1" applyFill="1" applyBorder="1" applyAlignment="1">
      <alignment horizontal="left"/>
    </xf>
    <xf numFmtId="1" fontId="2" fillId="3" borderId="3" xfId="0" applyNumberFormat="1" applyFont="1" applyFill="1" applyBorder="1"/>
    <xf numFmtId="1" fontId="2" fillId="3" borderId="4" xfId="0" applyNumberFormat="1" applyFont="1" applyFill="1" applyBorder="1"/>
    <xf numFmtId="3" fontId="0" fillId="3" borderId="10" xfId="0" applyNumberFormat="1" applyFill="1" applyBorder="1"/>
    <xf numFmtId="1" fontId="0" fillId="3" borderId="10" xfId="0" applyNumberFormat="1" applyFill="1" applyBorder="1"/>
    <xf numFmtId="3" fontId="0" fillId="3" borderId="5" xfId="0" applyNumberFormat="1" applyFill="1" applyBorder="1"/>
    <xf numFmtId="3" fontId="0" fillId="3" borderId="9" xfId="0" applyNumberFormat="1" applyFill="1" applyBorder="1"/>
    <xf numFmtId="3" fontId="0" fillId="3" borderId="11" xfId="0" applyNumberFormat="1" applyFill="1" applyBorder="1"/>
    <xf numFmtId="0" fontId="6" fillId="6" borderId="1" xfId="0" applyFont="1" applyFill="1" applyBorder="1"/>
    <xf numFmtId="0" fontId="19" fillId="0" borderId="0" xfId="0" applyFont="1"/>
    <xf numFmtId="0" fontId="3" fillId="0" borderId="0" xfId="0" applyFont="1"/>
    <xf numFmtId="0" fontId="0" fillId="3" borderId="14" xfId="0" applyFill="1" applyBorder="1" applyAlignment="1">
      <alignment horizontal="center"/>
    </xf>
    <xf numFmtId="0" fontId="2" fillId="6" borderId="25" xfId="0" applyFont="1" applyFill="1" applyBorder="1"/>
    <xf numFmtId="166" fontId="0" fillId="3" borderId="52" xfId="0" applyNumberFormat="1" applyFill="1" applyBorder="1"/>
    <xf numFmtId="166" fontId="0" fillId="3" borderId="53" xfId="0" applyNumberFormat="1" applyFill="1" applyBorder="1"/>
    <xf numFmtId="166" fontId="0" fillId="3" borderId="61" xfId="0" applyNumberFormat="1" applyFill="1" applyBorder="1"/>
    <xf numFmtId="0" fontId="0" fillId="3" borderId="52" xfId="0" applyFill="1" applyBorder="1"/>
    <xf numFmtId="0" fontId="0" fillId="3" borderId="53" xfId="0" applyFill="1" applyBorder="1"/>
    <xf numFmtId="0" fontId="0" fillId="3" borderId="61" xfId="0" applyFill="1" applyBorder="1"/>
    <xf numFmtId="0" fontId="0" fillId="3" borderId="46" xfId="0" applyFill="1" applyBorder="1"/>
    <xf numFmtId="0" fontId="2" fillId="0" borderId="0" xfId="0" applyFont="1" applyAlignment="1">
      <alignment horizontal="center"/>
    </xf>
    <xf numFmtId="0" fontId="14" fillId="3" borderId="5" xfId="0" applyFont="1" applyFill="1" applyBorder="1"/>
    <xf numFmtId="0" fontId="14" fillId="3" borderId="9" xfId="0" applyFont="1" applyFill="1" applyBorder="1"/>
    <xf numFmtId="0" fontId="0" fillId="3" borderId="45" xfId="0" applyFill="1" applyBorder="1"/>
    <xf numFmtId="0" fontId="2" fillId="6" borderId="7" xfId="0" applyFont="1" applyFill="1" applyBorder="1"/>
    <xf numFmtId="1" fontId="2" fillId="3" borderId="25" xfId="0" applyNumberFormat="1" applyFont="1" applyFill="1" applyBorder="1" applyAlignment="1">
      <alignment horizontal="center"/>
    </xf>
    <xf numFmtId="1" fontId="14" fillId="3" borderId="1" xfId="0" applyNumberFormat="1" applyFont="1" applyFill="1" applyBorder="1"/>
    <xf numFmtId="1" fontId="14" fillId="3" borderId="12" xfId="0" applyNumberFormat="1" applyFont="1" applyFill="1" applyBorder="1"/>
    <xf numFmtId="1" fontId="2" fillId="3" borderId="12" xfId="0" applyNumberFormat="1" applyFont="1" applyFill="1" applyBorder="1"/>
    <xf numFmtId="1" fontId="14" fillId="3" borderId="7" xfId="0" applyNumberFormat="1" applyFont="1" applyFill="1" applyBorder="1"/>
    <xf numFmtId="1" fontId="2" fillId="3" borderId="13" xfId="0" applyNumberFormat="1" applyFont="1" applyFill="1" applyBorder="1" applyAlignment="1">
      <alignment horizontal="center"/>
    </xf>
    <xf numFmtId="1" fontId="2" fillId="3" borderId="32" xfId="0" applyNumberFormat="1" applyFont="1" applyFill="1" applyBorder="1"/>
    <xf numFmtId="1" fontId="2" fillId="3" borderId="30" xfId="0" applyNumberFormat="1" applyFont="1" applyFill="1" applyBorder="1"/>
    <xf numFmtId="1" fontId="2" fillId="3" borderId="31" xfId="0" applyNumberFormat="1" applyFont="1" applyFill="1" applyBorder="1"/>
    <xf numFmtId="1" fontId="2" fillId="3" borderId="57" xfId="0" applyNumberFormat="1" applyFont="1" applyFill="1" applyBorder="1"/>
    <xf numFmtId="1" fontId="2" fillId="3" borderId="15" xfId="0" applyNumberFormat="1" applyFont="1" applyFill="1" applyBorder="1"/>
    <xf numFmtId="1" fontId="2" fillId="3" borderId="50" xfId="0" applyNumberFormat="1" applyFont="1" applyFill="1" applyBorder="1"/>
    <xf numFmtId="1" fontId="2" fillId="3" borderId="2" xfId="0" applyNumberFormat="1" applyFont="1" applyFill="1" applyBorder="1"/>
    <xf numFmtId="1" fontId="2" fillId="3" borderId="10" xfId="0" applyNumberFormat="1" applyFont="1" applyFill="1" applyBorder="1"/>
    <xf numFmtId="1" fontId="2" fillId="3" borderId="1" xfId="0" applyNumberFormat="1" applyFont="1" applyFill="1" applyBorder="1"/>
    <xf numFmtId="1" fontId="2" fillId="3" borderId="5" xfId="0" applyNumberFormat="1" applyFont="1" applyFill="1" applyBorder="1"/>
    <xf numFmtId="1" fontId="2" fillId="3" borderId="8" xfId="0" applyNumberFormat="1" applyFont="1" applyFill="1" applyBorder="1"/>
    <xf numFmtId="1" fontId="2" fillId="3" borderId="9" xfId="0" applyNumberFormat="1" applyFont="1" applyFill="1" applyBorder="1"/>
    <xf numFmtId="1" fontId="2" fillId="3" borderId="0" xfId="0" applyNumberFormat="1" applyFont="1" applyFill="1"/>
    <xf numFmtId="1" fontId="0" fillId="3" borderId="7" xfId="0" applyNumberFormat="1" applyFill="1" applyBorder="1"/>
    <xf numFmtId="0" fontId="0" fillId="6" borderId="8" xfId="0" applyFill="1" applyBorder="1"/>
    <xf numFmtId="0" fontId="0" fillId="6" borderId="4" xfId="0" applyFill="1" applyBorder="1" applyAlignment="1">
      <alignment horizontal="right"/>
    </xf>
    <xf numFmtId="0" fontId="0" fillId="3" borderId="3" xfId="0" applyFill="1" applyBorder="1"/>
    <xf numFmtId="0" fontId="1" fillId="3" borderId="25" xfId="0" applyFont="1" applyFill="1" applyBorder="1"/>
    <xf numFmtId="0" fontId="0" fillId="3" borderId="62" xfId="0" applyFill="1" applyBorder="1"/>
    <xf numFmtId="0" fontId="11" fillId="6" borderId="7" xfId="0" applyFont="1" applyFill="1" applyBorder="1"/>
    <xf numFmtId="0" fontId="0" fillId="0" borderId="10" xfId="0" applyBorder="1"/>
    <xf numFmtId="0" fontId="6" fillId="6" borderId="3" xfId="0" applyFont="1" applyFill="1" applyBorder="1"/>
    <xf numFmtId="0" fontId="1" fillId="3" borderId="2" xfId="0" applyFont="1" applyFill="1" applyBorder="1" applyAlignment="1">
      <alignment horizontal="center"/>
    </xf>
    <xf numFmtId="3" fontId="0" fillId="3" borderId="0" xfId="0" applyNumberFormat="1" applyFill="1"/>
    <xf numFmtId="1" fontId="16" fillId="0" borderId="0" xfId="0" applyNumberFormat="1" applyFont="1"/>
    <xf numFmtId="1" fontId="20" fillId="3" borderId="3" xfId="0" applyNumberFormat="1" applyFont="1" applyFill="1" applyBorder="1"/>
    <xf numFmtId="3" fontId="16" fillId="3" borderId="2" xfId="0" applyNumberFormat="1" applyFont="1" applyFill="1" applyBorder="1"/>
    <xf numFmtId="3" fontId="16" fillId="3" borderId="3" xfId="0" applyNumberFormat="1" applyFont="1" applyFill="1" applyBorder="1"/>
    <xf numFmtId="3" fontId="16" fillId="3" borderId="5" xfId="0" applyNumberFormat="1" applyFont="1" applyFill="1" applyBorder="1"/>
    <xf numFmtId="0" fontId="0" fillId="0" borderId="0" xfId="0" applyAlignment="1">
      <alignment horizontal="center"/>
    </xf>
    <xf numFmtId="3" fontId="9" fillId="3" borderId="6" xfId="0" applyNumberFormat="1" applyFont="1" applyFill="1" applyBorder="1"/>
    <xf numFmtId="3" fontId="9" fillId="3" borderId="57" xfId="0" applyNumberFormat="1" applyFont="1" applyFill="1" applyBorder="1"/>
    <xf numFmtId="3" fontId="9" fillId="3" borderId="54" xfId="0" applyNumberFormat="1" applyFont="1" applyFill="1" applyBorder="1"/>
    <xf numFmtId="3" fontId="0" fillId="0" borderId="0" xfId="0" applyNumberFormat="1" applyAlignment="1">
      <alignment horizontal="center"/>
    </xf>
    <xf numFmtId="0" fontId="0" fillId="3" borderId="8" xfId="0" applyFill="1" applyBorder="1" applyAlignment="1">
      <alignment horizontal="center"/>
    </xf>
    <xf numFmtId="0" fontId="0" fillId="3" borderId="51" xfId="0" applyFill="1" applyBorder="1" applyAlignment="1">
      <alignment horizontal="center"/>
    </xf>
    <xf numFmtId="0" fontId="22" fillId="3" borderId="4" xfId="0" applyFont="1" applyFill="1" applyBorder="1" applyAlignment="1">
      <alignment horizontal="center"/>
    </xf>
    <xf numFmtId="0" fontId="21" fillId="0" borderId="0" xfId="0" applyFont="1" applyAlignment="1">
      <alignment horizontal="center"/>
    </xf>
    <xf numFmtId="3" fontId="21" fillId="0" borderId="0" xfId="0" applyNumberFormat="1" applyFont="1" applyAlignment="1">
      <alignment horizontal="center"/>
    </xf>
    <xf numFmtId="0" fontId="2" fillId="3" borderId="3" xfId="0" applyFont="1" applyFill="1" applyBorder="1" applyAlignment="1">
      <alignment horizontal="right"/>
    </xf>
    <xf numFmtId="0" fontId="2" fillId="3" borderId="2" xfId="0" applyFont="1" applyFill="1" applyBorder="1" applyAlignment="1">
      <alignment horizontal="right"/>
    </xf>
    <xf numFmtId="0" fontId="21" fillId="3" borderId="50" xfId="0" applyFont="1" applyFill="1" applyBorder="1" applyAlignment="1">
      <alignment horizontal="center"/>
    </xf>
    <xf numFmtId="0" fontId="22" fillId="3" borderId="10" xfId="0" applyFont="1" applyFill="1" applyBorder="1" applyAlignment="1">
      <alignment horizontal="center"/>
    </xf>
    <xf numFmtId="0" fontId="2" fillId="3" borderId="1" xfId="0" applyFont="1" applyFill="1" applyBorder="1" applyAlignment="1">
      <alignment horizontal="left"/>
    </xf>
    <xf numFmtId="0" fontId="21" fillId="3" borderId="7" xfId="0" applyFont="1" applyFill="1" applyBorder="1" applyAlignment="1">
      <alignment horizontal="center"/>
    </xf>
    <xf numFmtId="0" fontId="0" fillId="3" borderId="5" xfId="0" applyFill="1" applyBorder="1" applyAlignment="1">
      <alignment horizontal="center"/>
    </xf>
    <xf numFmtId="0" fontId="2" fillId="3" borderId="3" xfId="0" applyFont="1" applyFill="1" applyBorder="1" applyAlignment="1">
      <alignment horizontal="left"/>
    </xf>
    <xf numFmtId="0" fontId="16" fillId="3" borderId="5" xfId="0" applyFont="1" applyFill="1" applyBorder="1" applyAlignment="1">
      <alignment horizontal="right"/>
    </xf>
    <xf numFmtId="0" fontId="18" fillId="6" borderId="3" xfId="0" applyFont="1" applyFill="1" applyBorder="1"/>
    <xf numFmtId="0" fontId="18" fillId="6" borderId="5" xfId="0" applyFont="1" applyFill="1" applyBorder="1"/>
    <xf numFmtId="3" fontId="16" fillId="3" borderId="8" xfId="0" applyNumberFormat="1" applyFont="1" applyFill="1" applyBorder="1"/>
    <xf numFmtId="3" fontId="16" fillId="3" borderId="0" xfId="0" applyNumberFormat="1" applyFont="1" applyFill="1"/>
    <xf numFmtId="3" fontId="16" fillId="3" borderId="9" xfId="0" applyNumberFormat="1" applyFont="1" applyFill="1" applyBorder="1"/>
    <xf numFmtId="3" fontId="0" fillId="3" borderId="2" xfId="0" applyNumberFormat="1" applyFill="1" applyBorder="1"/>
    <xf numFmtId="3" fontId="0" fillId="3" borderId="3" xfId="0" applyNumberFormat="1" applyFill="1" applyBorder="1"/>
    <xf numFmtId="3" fontId="0" fillId="3" borderId="8" xfId="0" applyNumberFormat="1" applyFill="1" applyBorder="1"/>
    <xf numFmtId="3" fontId="2" fillId="3" borderId="13" xfId="0" applyNumberFormat="1" applyFont="1" applyFill="1" applyBorder="1"/>
    <xf numFmtId="3" fontId="2" fillId="3" borderId="14" xfId="0" applyNumberFormat="1" applyFont="1" applyFill="1" applyBorder="1"/>
    <xf numFmtId="0" fontId="0" fillId="3" borderId="1" xfId="0" applyFill="1" applyBorder="1"/>
    <xf numFmtId="0" fontId="12" fillId="5" borderId="0" xfId="0" applyFont="1" applyFill="1"/>
    <xf numFmtId="0" fontId="2" fillId="5" borderId="0" xfId="0" applyFont="1" applyFill="1" applyAlignment="1">
      <alignment horizontal="center"/>
    </xf>
    <xf numFmtId="0" fontId="3" fillId="2" borderId="7" xfId="0" applyFont="1" applyFill="1" applyBorder="1"/>
    <xf numFmtId="0" fontId="9" fillId="3" borderId="4" xfId="0" applyFont="1" applyFill="1" applyBorder="1" applyAlignment="1">
      <alignment horizontal="center"/>
    </xf>
    <xf numFmtId="0" fontId="9" fillId="3" borderId="62" xfId="0" applyFont="1" applyFill="1" applyBorder="1" applyAlignment="1">
      <alignment horizontal="center"/>
    </xf>
    <xf numFmtId="0" fontId="9" fillId="3" borderId="32" xfId="0" applyFont="1" applyFill="1" applyBorder="1" applyAlignment="1">
      <alignment horizontal="center"/>
    </xf>
    <xf numFmtId="0" fontId="9" fillId="3" borderId="58" xfId="0" applyFont="1" applyFill="1" applyBorder="1" applyAlignment="1">
      <alignment horizontal="center"/>
    </xf>
    <xf numFmtId="0" fontId="23" fillId="0" borderId="0" xfId="0" applyFont="1"/>
    <xf numFmtId="0" fontId="23" fillId="3" borderId="2" xfId="0" applyFont="1" applyFill="1" applyBorder="1" applyAlignment="1">
      <alignment horizontal="right"/>
    </xf>
    <xf numFmtId="0" fontId="23" fillId="3" borderId="10" xfId="0" applyFont="1" applyFill="1" applyBorder="1"/>
    <xf numFmtId="0" fontId="0" fillId="3" borderId="63" xfId="0" applyFill="1" applyBorder="1"/>
    <xf numFmtId="0" fontId="0" fillId="3" borderId="48" xfId="0" applyFill="1" applyBorder="1"/>
    <xf numFmtId="0" fontId="0" fillId="3" borderId="64" xfId="0" applyFill="1" applyBorder="1"/>
    <xf numFmtId="0" fontId="9" fillId="3" borderId="2" xfId="0" applyFont="1" applyFill="1" applyBorder="1" applyAlignment="1">
      <alignment horizontal="right"/>
    </xf>
    <xf numFmtId="1" fontId="22" fillId="0" borderId="0" xfId="0" applyNumberFormat="1" applyFont="1" applyAlignment="1">
      <alignment horizontal="center"/>
    </xf>
    <xf numFmtId="3" fontId="2" fillId="0" borderId="0" xfId="0" applyNumberFormat="1" applyFont="1" applyAlignment="1">
      <alignment horizontal="right"/>
    </xf>
    <xf numFmtId="1" fontId="21" fillId="0" borderId="0" xfId="0" applyNumberFormat="1" applyFont="1" applyAlignment="1">
      <alignment horizontal="center"/>
    </xf>
    <xf numFmtId="3" fontId="0" fillId="0" borderId="0" xfId="0" applyNumberFormat="1" applyAlignment="1">
      <alignment horizontal="right"/>
    </xf>
    <xf numFmtId="3" fontId="2" fillId="3" borderId="12" xfId="0" applyNumberFormat="1" applyFont="1" applyFill="1" applyBorder="1"/>
    <xf numFmtId="0" fontId="16" fillId="0" borderId="0" xfId="0" applyFont="1"/>
    <xf numFmtId="0" fontId="20" fillId="0" borderId="0" xfId="0" applyFont="1"/>
    <xf numFmtId="0" fontId="16" fillId="3" borderId="7" xfId="0" applyFont="1" applyFill="1" applyBorder="1"/>
    <xf numFmtId="0" fontId="0" fillId="3" borderId="65" xfId="0" applyFill="1" applyBorder="1"/>
    <xf numFmtId="0" fontId="0" fillId="3" borderId="42" xfId="0" applyFill="1" applyBorder="1"/>
    <xf numFmtId="0" fontId="23" fillId="3" borderId="42" xfId="0" applyFont="1" applyFill="1" applyBorder="1"/>
    <xf numFmtId="0" fontId="0" fillId="3" borderId="66" xfId="0" applyFill="1" applyBorder="1"/>
    <xf numFmtId="0" fontId="23" fillId="3" borderId="66" xfId="0" applyFont="1" applyFill="1" applyBorder="1"/>
    <xf numFmtId="0" fontId="9" fillId="3" borderId="31" xfId="0" applyFont="1" applyFill="1" applyBorder="1" applyAlignment="1">
      <alignment horizontal="center"/>
    </xf>
    <xf numFmtId="0" fontId="9" fillId="3" borderId="24" xfId="0" applyFont="1" applyFill="1" applyBorder="1" applyAlignment="1">
      <alignment horizontal="center"/>
    </xf>
    <xf numFmtId="0" fontId="23" fillId="3" borderId="3" xfId="0" applyFont="1" applyFill="1" applyBorder="1" applyAlignment="1">
      <alignment horizontal="right"/>
    </xf>
    <xf numFmtId="0" fontId="23" fillId="3" borderId="2" xfId="0" applyFont="1" applyFill="1" applyBorder="1"/>
    <xf numFmtId="0" fontId="23" fillId="3" borderId="1" xfId="0" applyFont="1" applyFill="1" applyBorder="1"/>
    <xf numFmtId="0" fontId="9" fillId="6" borderId="5" xfId="0" applyFont="1" applyFill="1" applyBorder="1"/>
    <xf numFmtId="0" fontId="23" fillId="3" borderId="1" xfId="0" applyFont="1" applyFill="1" applyBorder="1" applyAlignment="1">
      <alignment horizontal="right"/>
    </xf>
    <xf numFmtId="0" fontId="0" fillId="3" borderId="67" xfId="0" applyFill="1" applyBorder="1" applyAlignment="1">
      <alignment horizontal="center"/>
    </xf>
    <xf numFmtId="0" fontId="0" fillId="3" borderId="21" xfId="0" applyFill="1" applyBorder="1" applyAlignment="1">
      <alignment horizontal="center"/>
    </xf>
    <xf numFmtId="0" fontId="23" fillId="3" borderId="5" xfId="0" applyFont="1" applyFill="1" applyBorder="1"/>
    <xf numFmtId="0" fontId="23" fillId="3" borderId="1" xfId="0" applyFont="1" applyFill="1" applyBorder="1" applyAlignment="1">
      <alignment horizontal="left"/>
    </xf>
    <xf numFmtId="168" fontId="23" fillId="0" borderId="0" xfId="0" applyNumberFormat="1" applyFont="1"/>
    <xf numFmtId="3" fontId="12" fillId="2" borderId="6" xfId="0" applyNumberFormat="1" applyFont="1" applyFill="1" applyBorder="1"/>
    <xf numFmtId="3" fontId="12" fillId="2" borderId="1" xfId="0" applyNumberFormat="1" applyFont="1" applyFill="1" applyBorder="1"/>
    <xf numFmtId="3" fontId="12" fillId="2" borderId="7" xfId="0" applyNumberFormat="1" applyFont="1" applyFill="1" applyBorder="1"/>
    <xf numFmtId="3" fontId="12" fillId="0" borderId="0" xfId="0" applyNumberFormat="1" applyFont="1"/>
    <xf numFmtId="3" fontId="2" fillId="3" borderId="4" xfId="0" applyNumberFormat="1" applyFont="1" applyFill="1" applyBorder="1" applyAlignment="1">
      <alignment horizontal="center"/>
    </xf>
    <xf numFmtId="3" fontId="14" fillId="3" borderId="1" xfId="0" applyNumberFormat="1" applyFont="1" applyFill="1" applyBorder="1"/>
    <xf numFmtId="3" fontId="14" fillId="3" borderId="12" xfId="0" applyNumberFormat="1" applyFont="1" applyFill="1" applyBorder="1"/>
    <xf numFmtId="3" fontId="14" fillId="3" borderId="7" xfId="0" applyNumberFormat="1" applyFont="1" applyFill="1" applyBorder="1"/>
    <xf numFmtId="3" fontId="2" fillId="3" borderId="10" xfId="0" applyNumberFormat="1" applyFont="1" applyFill="1" applyBorder="1" applyAlignment="1">
      <alignment horizontal="center"/>
    </xf>
    <xf numFmtId="3" fontId="2" fillId="3" borderId="25" xfId="0" applyNumberFormat="1" applyFont="1" applyFill="1" applyBorder="1" applyAlignment="1">
      <alignment horizontal="center"/>
    </xf>
    <xf numFmtId="3" fontId="14" fillId="0" borderId="0" xfId="0" applyNumberFormat="1" applyFont="1"/>
    <xf numFmtId="3" fontId="2" fillId="3" borderId="3" xfId="0" applyNumberFormat="1" applyFont="1" applyFill="1" applyBorder="1"/>
    <xf numFmtId="3" fontId="2" fillId="3" borderId="4" xfId="0" applyNumberFormat="1" applyFont="1" applyFill="1" applyBorder="1"/>
    <xf numFmtId="3" fontId="2" fillId="3" borderId="13" xfId="0" applyNumberFormat="1" applyFont="1" applyFill="1" applyBorder="1" applyAlignment="1">
      <alignment horizontal="center"/>
    </xf>
    <xf numFmtId="3" fontId="2" fillId="3" borderId="32" xfId="0" applyNumberFormat="1" applyFont="1" applyFill="1" applyBorder="1"/>
    <xf numFmtId="3" fontId="2" fillId="3" borderId="2" xfId="0" applyNumberFormat="1" applyFont="1" applyFill="1" applyBorder="1"/>
    <xf numFmtId="3" fontId="2" fillId="3" borderId="10" xfId="0" applyNumberFormat="1" applyFont="1" applyFill="1" applyBorder="1"/>
    <xf numFmtId="3" fontId="9" fillId="0" borderId="0" xfId="0" applyNumberFormat="1" applyFont="1"/>
    <xf numFmtId="3" fontId="2" fillId="3" borderId="5" xfId="0" applyNumberFormat="1" applyFont="1" applyFill="1" applyBorder="1"/>
    <xf numFmtId="3" fontId="2" fillId="3" borderId="11" xfId="0" applyNumberFormat="1" applyFont="1" applyFill="1" applyBorder="1"/>
    <xf numFmtId="3" fontId="2" fillId="3" borderId="1" xfId="0" applyNumberFormat="1" applyFont="1" applyFill="1" applyBorder="1"/>
    <xf numFmtId="3" fontId="2" fillId="3" borderId="7" xfId="0" applyNumberFormat="1" applyFont="1" applyFill="1" applyBorder="1"/>
    <xf numFmtId="3" fontId="2" fillId="3" borderId="8" xfId="0" applyNumberFormat="1" applyFont="1" applyFill="1" applyBorder="1" applyAlignment="1">
      <alignment horizontal="left"/>
    </xf>
    <xf numFmtId="3" fontId="2" fillId="3" borderId="9" xfId="0" applyNumberFormat="1" applyFont="1" applyFill="1" applyBorder="1"/>
    <xf numFmtId="3" fontId="2" fillId="3" borderId="4" xfId="0" applyNumberFormat="1" applyFont="1" applyFill="1" applyBorder="1" applyAlignment="1">
      <alignment horizontal="left"/>
    </xf>
    <xf numFmtId="3" fontId="0" fillId="3" borderId="7" xfId="0" applyNumberFormat="1" applyFill="1" applyBorder="1"/>
    <xf numFmtId="3" fontId="2" fillId="3" borderId="10" xfId="0" applyNumberFormat="1" applyFont="1" applyFill="1" applyBorder="1" applyAlignment="1">
      <alignment horizontal="left"/>
    </xf>
    <xf numFmtId="3" fontId="2" fillId="3" borderId="0" xfId="0" applyNumberFormat="1" applyFont="1" applyFill="1"/>
    <xf numFmtId="3" fontId="2" fillId="3" borderId="8" xfId="0" applyNumberFormat="1" applyFont="1" applyFill="1" applyBorder="1"/>
    <xf numFmtId="3" fontId="0" fillId="3" borderId="12" xfId="0" applyNumberFormat="1" applyFill="1" applyBorder="1"/>
    <xf numFmtId="168" fontId="0" fillId="3" borderId="3" xfId="0" applyNumberFormat="1" applyFill="1" applyBorder="1"/>
    <xf numFmtId="168" fontId="0" fillId="3" borderId="8" xfId="0" applyNumberFormat="1" applyFill="1" applyBorder="1"/>
    <xf numFmtId="168" fontId="0" fillId="3" borderId="19" xfId="0" applyNumberFormat="1" applyFill="1" applyBorder="1" applyAlignment="1">
      <alignment horizontal="center"/>
    </xf>
    <xf numFmtId="168" fontId="0" fillId="3" borderId="20" xfId="0" applyNumberFormat="1" applyFill="1" applyBorder="1" applyAlignment="1">
      <alignment horizontal="center"/>
    </xf>
    <xf numFmtId="168" fontId="0" fillId="3" borderId="43" xfId="0" applyNumberFormat="1" applyFill="1" applyBorder="1" applyAlignment="1">
      <alignment horizontal="center"/>
    </xf>
    <xf numFmtId="9" fontId="0" fillId="0" borderId="0" xfId="0" applyNumberFormat="1"/>
    <xf numFmtId="169" fontId="0" fillId="0" borderId="0" xfId="0" applyNumberFormat="1"/>
    <xf numFmtId="0" fontId="25" fillId="0" borderId="0" xfId="0" applyFont="1"/>
    <xf numFmtId="168" fontId="0" fillId="6" borderId="12" xfId="0" applyNumberFormat="1" applyFill="1" applyBorder="1"/>
    <xf numFmtId="3" fontId="0" fillId="3" borderId="6" xfId="0" applyNumberFormat="1" applyFill="1" applyBorder="1"/>
    <xf numFmtId="0" fontId="2" fillId="6" borderId="2" xfId="0" applyFont="1" applyFill="1" applyBorder="1"/>
    <xf numFmtId="167" fontId="2" fillId="3" borderId="1" xfId="0" applyNumberFormat="1" applyFont="1" applyFill="1" applyBorder="1"/>
    <xf numFmtId="168" fontId="2" fillId="3" borderId="1" xfId="0" applyNumberFormat="1" applyFont="1" applyFill="1" applyBorder="1"/>
    <xf numFmtId="168" fontId="9" fillId="3" borderId="6" xfId="0" applyNumberFormat="1" applyFont="1" applyFill="1" applyBorder="1"/>
    <xf numFmtId="168" fontId="9" fillId="3" borderId="57" xfId="0" applyNumberFormat="1" applyFont="1" applyFill="1" applyBorder="1"/>
    <xf numFmtId="168" fontId="9" fillId="3" borderId="15" xfId="0" applyNumberFormat="1" applyFont="1" applyFill="1" applyBorder="1"/>
    <xf numFmtId="168" fontId="9" fillId="3" borderId="54" xfId="0" applyNumberFormat="1" applyFont="1" applyFill="1" applyBorder="1"/>
    <xf numFmtId="168" fontId="9" fillId="3" borderId="14" xfId="0" applyNumberFormat="1" applyFont="1" applyFill="1" applyBorder="1"/>
    <xf numFmtId="168" fontId="9" fillId="3" borderId="50" xfId="0" applyNumberFormat="1" applyFont="1" applyFill="1" applyBorder="1"/>
    <xf numFmtId="168" fontId="9" fillId="3" borderId="69" xfId="0" applyNumberFormat="1" applyFont="1" applyFill="1" applyBorder="1"/>
    <xf numFmtId="168" fontId="9" fillId="3" borderId="70" xfId="0" applyNumberFormat="1" applyFont="1" applyFill="1" applyBorder="1"/>
    <xf numFmtId="0" fontId="0" fillId="3" borderId="15" xfId="0" applyFill="1" applyBorder="1" applyAlignment="1">
      <alignment horizontal="center"/>
    </xf>
    <xf numFmtId="0" fontId="26" fillId="0" borderId="0" xfId="0" applyFont="1"/>
    <xf numFmtId="0" fontId="9" fillId="3" borderId="41" xfId="0" applyFont="1" applyFill="1" applyBorder="1" applyAlignment="1">
      <alignment horizontal="center"/>
    </xf>
    <xf numFmtId="0" fontId="9" fillId="3" borderId="42" xfId="0" applyFont="1" applyFill="1" applyBorder="1" applyAlignment="1">
      <alignment horizontal="center"/>
    </xf>
    <xf numFmtId="0" fontId="16" fillId="3" borderId="7" xfId="0" applyFont="1" applyFill="1" applyBorder="1" applyAlignment="1">
      <alignment horizontal="center"/>
    </xf>
    <xf numFmtId="0" fontId="16" fillId="0" borderId="0" xfId="0" applyFont="1" applyAlignment="1">
      <alignment horizontal="center"/>
    </xf>
    <xf numFmtId="9" fontId="16" fillId="0" borderId="0" xfId="0" applyNumberFormat="1" applyFont="1"/>
    <xf numFmtId="3" fontId="20" fillId="0" borderId="0" xfId="0" applyNumberFormat="1" applyFont="1"/>
    <xf numFmtId="0" fontId="9" fillId="3" borderId="49" xfId="0" applyFont="1" applyFill="1" applyBorder="1" applyAlignment="1">
      <alignment horizontal="center"/>
    </xf>
    <xf numFmtId="0" fontId="9" fillId="3" borderId="22" xfId="0" applyFont="1" applyFill="1" applyBorder="1" applyAlignment="1">
      <alignment horizontal="center"/>
    </xf>
    <xf numFmtId="0" fontId="16" fillId="6" borderId="7" xfId="0" applyFont="1" applyFill="1" applyBorder="1"/>
    <xf numFmtId="0" fontId="9" fillId="3" borderId="29" xfId="0" applyFont="1" applyFill="1" applyBorder="1"/>
    <xf numFmtId="0" fontId="16" fillId="6" borderId="12" xfId="0" applyFont="1" applyFill="1" applyBorder="1"/>
    <xf numFmtId="0" fontId="16" fillId="3" borderId="11" xfId="0" applyFont="1" applyFill="1" applyBorder="1" applyAlignment="1">
      <alignment horizontal="center"/>
    </xf>
    <xf numFmtId="0" fontId="2" fillId="6" borderId="12" xfId="0" applyFont="1" applyFill="1" applyBorder="1" applyAlignment="1">
      <alignment horizontal="left"/>
    </xf>
    <xf numFmtId="167" fontId="0" fillId="3" borderId="65" xfId="0" applyNumberFormat="1" applyFill="1" applyBorder="1"/>
    <xf numFmtId="167" fontId="0" fillId="3" borderId="42" xfId="0" applyNumberFormat="1" applyFill="1" applyBorder="1"/>
    <xf numFmtId="167" fontId="23" fillId="3" borderId="42" xfId="0" applyNumberFormat="1" applyFont="1" applyFill="1" applyBorder="1"/>
    <xf numFmtId="167" fontId="0" fillId="3" borderId="66" xfId="0" applyNumberFormat="1" applyFill="1" applyBorder="1"/>
    <xf numFmtId="167" fontId="23" fillId="3" borderId="66" xfId="0" applyNumberFormat="1" applyFont="1" applyFill="1" applyBorder="1"/>
    <xf numFmtId="9" fontId="23" fillId="3" borderId="62" xfId="0" applyNumberFormat="1" applyFont="1" applyFill="1" applyBorder="1"/>
    <xf numFmtId="167" fontId="0" fillId="3" borderId="58" xfId="0" applyNumberFormat="1" applyFill="1" applyBorder="1"/>
    <xf numFmtId="9" fontId="23" fillId="3" borderId="7" xfId="0" applyNumberFormat="1" applyFont="1" applyFill="1" applyBorder="1"/>
    <xf numFmtId="9" fontId="23" fillId="0" borderId="0" xfId="0" applyNumberFormat="1" applyFont="1"/>
    <xf numFmtId="0" fontId="9" fillId="3" borderId="25" xfId="0" applyFont="1" applyFill="1" applyBorder="1"/>
    <xf numFmtId="0" fontId="9" fillId="3" borderId="69" xfId="0" applyFont="1" applyFill="1" applyBorder="1"/>
    <xf numFmtId="0" fontId="9" fillId="3" borderId="13" xfId="0" applyFont="1" applyFill="1" applyBorder="1"/>
    <xf numFmtId="0" fontId="2" fillId="3" borderId="6" xfId="0" applyFont="1" applyFill="1" applyBorder="1" applyAlignment="1">
      <alignment horizontal="left"/>
    </xf>
    <xf numFmtId="0" fontId="9" fillId="0" borderId="0" xfId="0" applyFont="1"/>
    <xf numFmtId="0" fontId="9" fillId="0" borderId="0" xfId="0" applyFont="1" applyAlignment="1">
      <alignment horizontal="center"/>
    </xf>
    <xf numFmtId="0" fontId="23" fillId="0" borderId="0" xfId="0" applyFont="1" applyAlignment="1">
      <alignment horizontal="right"/>
    </xf>
    <xf numFmtId="3" fontId="23" fillId="0" borderId="0" xfId="0" applyNumberFormat="1" applyFont="1"/>
    <xf numFmtId="2" fontId="23" fillId="0" borderId="0" xfId="0" applyNumberFormat="1" applyFont="1"/>
    <xf numFmtId="2" fontId="9" fillId="0" borderId="0" xfId="0" applyNumberFormat="1" applyFont="1"/>
    <xf numFmtId="0" fontId="9" fillId="0" borderId="0" xfId="0" applyFont="1" applyAlignment="1">
      <alignment horizontal="left"/>
    </xf>
    <xf numFmtId="0" fontId="2" fillId="0" borderId="0" xfId="0" applyFont="1" applyAlignment="1">
      <alignment horizontal="left"/>
    </xf>
    <xf numFmtId="0" fontId="9" fillId="0" borderId="0" xfId="0" applyFont="1" applyAlignment="1">
      <alignment horizontal="right"/>
    </xf>
    <xf numFmtId="168" fontId="2" fillId="0" borderId="0" xfId="0" applyNumberFormat="1" applyFont="1"/>
    <xf numFmtId="0" fontId="24" fillId="0" borderId="0" xfId="0" applyFont="1" applyAlignment="1">
      <alignment horizontal="right"/>
    </xf>
    <xf numFmtId="1" fontId="10" fillId="0" borderId="0" xfId="0" applyNumberFormat="1" applyFont="1" applyAlignment="1">
      <alignment horizontal="center"/>
    </xf>
    <xf numFmtId="168" fontId="2" fillId="0" borderId="0" xfId="0" applyNumberFormat="1" applyFont="1" applyAlignment="1">
      <alignment horizontal="right"/>
    </xf>
    <xf numFmtId="0" fontId="0" fillId="3" borderId="6" xfId="0" applyFill="1" applyBorder="1" applyAlignment="1">
      <alignment horizontal="center"/>
    </xf>
    <xf numFmtId="0" fontId="0" fillId="3" borderId="3" xfId="0" applyFill="1" applyBorder="1" applyAlignment="1">
      <alignment horizontal="center"/>
    </xf>
    <xf numFmtId="0" fontId="16" fillId="3" borderId="12" xfId="0" applyFont="1" applyFill="1" applyBorder="1"/>
    <xf numFmtId="0" fontId="0" fillId="6" borderId="5" xfId="0" applyFill="1" applyBorder="1"/>
    <xf numFmtId="0" fontId="0" fillId="6" borderId="14" xfId="0" applyFill="1" applyBorder="1"/>
    <xf numFmtId="0" fontId="0" fillId="3" borderId="25" xfId="0" applyFill="1" applyBorder="1"/>
    <xf numFmtId="0" fontId="0" fillId="3" borderId="4" xfId="0" applyFill="1" applyBorder="1" applyAlignment="1">
      <alignment horizontal="center"/>
    </xf>
    <xf numFmtId="0" fontId="0" fillId="3" borderId="11" xfId="0" applyFill="1" applyBorder="1" applyAlignment="1">
      <alignment horizontal="center"/>
    </xf>
    <xf numFmtId="0" fontId="0" fillId="3" borderId="9" xfId="0" applyFill="1" applyBorder="1" applyAlignment="1">
      <alignment horizontal="center"/>
    </xf>
    <xf numFmtId="0" fontId="0" fillId="3" borderId="5" xfId="0" applyFill="1" applyBorder="1" applyAlignment="1">
      <alignment horizontal="right"/>
    </xf>
    <xf numFmtId="0" fontId="0" fillId="3" borderId="25" xfId="0" applyFill="1" applyBorder="1" applyAlignment="1">
      <alignment horizontal="center"/>
    </xf>
    <xf numFmtId="0" fontId="0" fillId="6" borderId="6" xfId="0" applyFill="1" applyBorder="1"/>
    <xf numFmtId="0" fontId="4" fillId="2" borderId="12" xfId="0" applyFont="1" applyFill="1" applyBorder="1"/>
    <xf numFmtId="0" fontId="0" fillId="3" borderId="13" xfId="0" applyFill="1" applyBorder="1" applyAlignment="1">
      <alignment horizontal="center"/>
    </xf>
    <xf numFmtId="10" fontId="0" fillId="0" borderId="0" xfId="0" applyNumberFormat="1"/>
    <xf numFmtId="0" fontId="22" fillId="3" borderId="7" xfId="0" applyFont="1" applyFill="1" applyBorder="1" applyAlignment="1">
      <alignment horizontal="center"/>
    </xf>
    <xf numFmtId="0" fontId="0" fillId="6" borderId="3" xfId="0" applyFill="1" applyBorder="1"/>
    <xf numFmtId="0" fontId="0" fillId="6" borderId="13" xfId="0" applyFill="1" applyBorder="1"/>
    <xf numFmtId="0" fontId="0" fillId="7" borderId="0" xfId="0" applyFill="1"/>
    <xf numFmtId="0" fontId="2" fillId="3" borderId="1" xfId="0" applyFont="1" applyFill="1" applyBorder="1" applyAlignment="1">
      <alignment horizontal="center"/>
    </xf>
    <xf numFmtId="0" fontId="9" fillId="6" borderId="12" xfId="0" applyFont="1" applyFill="1" applyBorder="1"/>
    <xf numFmtId="0" fontId="9" fillId="6" borderId="8" xfId="0" applyFont="1" applyFill="1" applyBorder="1"/>
    <xf numFmtId="0" fontId="2" fillId="6" borderId="4" xfId="0" applyFont="1" applyFill="1" applyBorder="1"/>
    <xf numFmtId="0" fontId="0" fillId="0" borderId="0" xfId="0" applyAlignment="1">
      <alignment horizontal="left"/>
    </xf>
    <xf numFmtId="0" fontId="8" fillId="9" borderId="1" xfId="0" applyFont="1" applyFill="1" applyBorder="1"/>
    <xf numFmtId="0" fontId="9" fillId="3" borderId="10" xfId="0" applyFont="1" applyFill="1" applyBorder="1" applyAlignment="1">
      <alignment horizontal="right"/>
    </xf>
    <xf numFmtId="0" fontId="0" fillId="10" borderId="0" xfId="0" applyFill="1"/>
    <xf numFmtId="0" fontId="23" fillId="3" borderId="0" xfId="0" applyFont="1" applyFill="1"/>
    <xf numFmtId="0" fontId="23" fillId="3" borderId="9" xfId="0" applyFont="1" applyFill="1" applyBorder="1"/>
    <xf numFmtId="0" fontId="0" fillId="3" borderId="49" xfId="0" applyFill="1" applyBorder="1" applyAlignment="1">
      <alignment horizontal="center"/>
    </xf>
    <xf numFmtId="0" fontId="21" fillId="3" borderId="4" xfId="0" applyFont="1" applyFill="1" applyBorder="1" applyAlignment="1">
      <alignment horizontal="center"/>
    </xf>
    <xf numFmtId="0" fontId="12" fillId="2" borderId="7" xfId="0" applyFont="1" applyFill="1" applyBorder="1"/>
    <xf numFmtId="166" fontId="0" fillId="11" borderId="53" xfId="0" applyNumberFormat="1" applyFill="1" applyBorder="1"/>
    <xf numFmtId="0" fontId="9" fillId="3" borderId="25" xfId="0" applyFont="1" applyFill="1" applyBorder="1" applyAlignment="1">
      <alignment horizontal="center"/>
    </xf>
    <xf numFmtId="0" fontId="2" fillId="6" borderId="11" xfId="0" applyFont="1" applyFill="1" applyBorder="1"/>
    <xf numFmtId="0" fontId="2" fillId="11" borderId="14" xfId="0" applyFont="1" applyFill="1" applyBorder="1"/>
    <xf numFmtId="0" fontId="2" fillId="11" borderId="25" xfId="0" applyFont="1" applyFill="1" applyBorder="1" applyAlignment="1">
      <alignment horizontal="center"/>
    </xf>
    <xf numFmtId="0" fontId="2" fillId="11" borderId="13" xfId="0" applyFont="1" applyFill="1" applyBorder="1" applyAlignment="1">
      <alignment horizontal="center"/>
    </xf>
    <xf numFmtId="0" fontId="0" fillId="3" borderId="71" xfId="0" applyFill="1" applyBorder="1"/>
    <xf numFmtId="0" fontId="2" fillId="11" borderId="53" xfId="0" applyFont="1" applyFill="1" applyBorder="1"/>
    <xf numFmtId="3" fontId="9" fillId="11" borderId="10" xfId="0" applyNumberFormat="1" applyFont="1" applyFill="1" applyBorder="1" applyAlignment="1">
      <alignment horizontal="right"/>
    </xf>
    <xf numFmtId="3" fontId="2" fillId="11" borderId="10" xfId="0" applyNumberFormat="1" applyFont="1" applyFill="1" applyBorder="1" applyAlignment="1">
      <alignment horizontal="right"/>
    </xf>
    <xf numFmtId="3" fontId="2" fillId="11" borderId="11" xfId="0" applyNumberFormat="1" applyFont="1" applyFill="1" applyBorder="1" applyAlignment="1">
      <alignment horizontal="right"/>
    </xf>
    <xf numFmtId="0" fontId="2" fillId="9" borderId="1" xfId="0" applyFont="1" applyFill="1" applyBorder="1"/>
    <xf numFmtId="0" fontId="0" fillId="9" borderId="12" xfId="0" applyFill="1" applyBorder="1" applyAlignment="1">
      <alignment horizontal="left"/>
    </xf>
    <xf numFmtId="0" fontId="0" fillId="9" borderId="12" xfId="0" applyFill="1" applyBorder="1"/>
    <xf numFmtId="0" fontId="2" fillId="9" borderId="7" xfId="0" applyFont="1" applyFill="1" applyBorder="1" applyAlignment="1">
      <alignment horizontal="right"/>
    </xf>
    <xf numFmtId="1" fontId="2" fillId="11" borderId="62" xfId="0" applyNumberFormat="1" applyFont="1" applyFill="1" applyBorder="1" applyAlignment="1">
      <alignment horizontal="right"/>
    </xf>
    <xf numFmtId="1" fontId="0" fillId="12" borderId="12" xfId="0" applyNumberFormat="1" applyFill="1" applyBorder="1"/>
    <xf numFmtId="1" fontId="0" fillId="12" borderId="7" xfId="0" applyNumberFormat="1" applyFill="1" applyBorder="1"/>
    <xf numFmtId="0" fontId="2" fillId="11" borderId="1" xfId="0" applyFont="1" applyFill="1" applyBorder="1"/>
    <xf numFmtId="0" fontId="2" fillId="11" borderId="5" xfId="0" applyFont="1" applyFill="1" applyBorder="1"/>
    <xf numFmtId="0" fontId="0" fillId="11" borderId="6" xfId="0" applyFill="1" applyBorder="1"/>
    <xf numFmtId="0" fontId="2" fillId="11" borderId="6" xfId="0" applyFont="1" applyFill="1" applyBorder="1"/>
    <xf numFmtId="0" fontId="0" fillId="11" borderId="2" xfId="0" applyFill="1" applyBorder="1"/>
    <xf numFmtId="0" fontId="0" fillId="11" borderId="1" xfId="0" applyFill="1" applyBorder="1"/>
    <xf numFmtId="0" fontId="9" fillId="11" borderId="6" xfId="0" applyFont="1" applyFill="1" applyBorder="1"/>
    <xf numFmtId="0" fontId="9" fillId="11" borderId="1" xfId="0" applyFont="1" applyFill="1" applyBorder="1"/>
    <xf numFmtId="0" fontId="2" fillId="11" borderId="60" xfId="0" applyFont="1" applyFill="1" applyBorder="1" applyAlignment="1">
      <alignment horizontal="center"/>
    </xf>
    <xf numFmtId="0" fontId="2" fillId="11" borderId="27" xfId="0" applyFont="1" applyFill="1" applyBorder="1" applyAlignment="1">
      <alignment horizontal="center"/>
    </xf>
    <xf numFmtId="168" fontId="2" fillId="11" borderId="25" xfId="0" applyNumberFormat="1" applyFont="1" applyFill="1" applyBorder="1" applyAlignment="1">
      <alignment horizontal="center"/>
    </xf>
    <xf numFmtId="168" fontId="2" fillId="11" borderId="13" xfId="0" applyNumberFormat="1" applyFont="1" applyFill="1" applyBorder="1" applyAlignment="1">
      <alignment horizontal="center"/>
    </xf>
    <xf numFmtId="168" fontId="0" fillId="11" borderId="1" xfId="0" applyNumberFormat="1" applyFill="1" applyBorder="1"/>
    <xf numFmtId="168" fontId="0" fillId="11" borderId="51" xfId="0" applyNumberFormat="1" applyFill="1" applyBorder="1"/>
    <xf numFmtId="0" fontId="9" fillId="11" borderId="57" xfId="0" applyFont="1" applyFill="1" applyBorder="1"/>
    <xf numFmtId="0" fontId="9" fillId="11" borderId="15" xfId="0" applyFont="1" applyFill="1" applyBorder="1"/>
    <xf numFmtId="0" fontId="9" fillId="11" borderId="54" xfId="0" applyFont="1" applyFill="1" applyBorder="1"/>
    <xf numFmtId="0" fontId="2" fillId="3" borderId="6" xfId="0" applyFont="1" applyFill="1" applyBorder="1" applyAlignment="1">
      <alignment horizontal="center"/>
    </xf>
    <xf numFmtId="0" fontId="18" fillId="6" borderId="12" xfId="0" applyFont="1" applyFill="1" applyBorder="1" applyAlignment="1">
      <alignment horizontal="left"/>
    </xf>
    <xf numFmtId="167" fontId="0" fillId="3" borderId="36" xfId="0" applyNumberFormat="1" applyFill="1" applyBorder="1"/>
    <xf numFmtId="9" fontId="23" fillId="3" borderId="11" xfId="0" applyNumberFormat="1" applyFont="1" applyFill="1" applyBorder="1"/>
    <xf numFmtId="3" fontId="17" fillId="3" borderId="6" xfId="0" applyNumberFormat="1" applyFont="1" applyFill="1" applyBorder="1"/>
    <xf numFmtId="0" fontId="23" fillId="3" borderId="52" xfId="0" applyFont="1" applyFill="1" applyBorder="1"/>
    <xf numFmtId="0" fontId="23" fillId="3" borderId="48" xfId="0" applyFont="1" applyFill="1" applyBorder="1"/>
    <xf numFmtId="0" fontId="23" fillId="3" borderId="10" xfId="0" applyFont="1" applyFill="1" applyBorder="1" applyAlignment="1">
      <alignment horizontal="center"/>
    </xf>
    <xf numFmtId="0" fontId="23" fillId="3" borderId="24" xfId="0" applyFont="1" applyFill="1" applyBorder="1" applyAlignment="1">
      <alignment horizontal="center"/>
    </xf>
    <xf numFmtId="0" fontId="23" fillId="3" borderId="31" xfId="0" applyFont="1" applyFill="1" applyBorder="1" applyAlignment="1">
      <alignment horizontal="center"/>
    </xf>
    <xf numFmtId="0" fontId="23" fillId="3" borderId="7" xfId="0" applyFont="1" applyFill="1" applyBorder="1"/>
    <xf numFmtId="0" fontId="23" fillId="3" borderId="64" xfId="0" applyFont="1" applyFill="1" applyBorder="1"/>
    <xf numFmtId="0" fontId="23" fillId="3" borderId="11" xfId="0" applyFont="1" applyFill="1" applyBorder="1"/>
    <xf numFmtId="0" fontId="23" fillId="3" borderId="3" xfId="0" applyFont="1" applyFill="1" applyBorder="1"/>
    <xf numFmtId="0" fontId="9" fillId="3" borderId="2" xfId="0" applyFont="1" applyFill="1" applyBorder="1" applyAlignment="1">
      <alignment horizontal="center"/>
    </xf>
    <xf numFmtId="1" fontId="0" fillId="13" borderId="6" xfId="0" applyNumberFormat="1" applyFill="1" applyBorder="1"/>
    <xf numFmtId="0" fontId="0" fillId="13" borderId="14" xfId="0" applyFill="1" applyBorder="1"/>
    <xf numFmtId="3" fontId="0" fillId="13" borderId="6" xfId="0" applyNumberFormat="1" applyFill="1" applyBorder="1"/>
    <xf numFmtId="3" fontId="0" fillId="13" borderId="14" xfId="0" applyNumberFormat="1" applyFill="1" applyBorder="1"/>
    <xf numFmtId="1" fontId="9" fillId="13" borderId="12" xfId="0" applyNumberFormat="1" applyFont="1" applyFill="1" applyBorder="1"/>
    <xf numFmtId="3" fontId="9" fillId="13" borderId="9" xfId="0" applyNumberFormat="1" applyFont="1" applyFill="1" applyBorder="1"/>
    <xf numFmtId="1" fontId="9" fillId="13" borderId="6" xfId="0" applyNumberFormat="1" applyFont="1" applyFill="1" applyBorder="1" applyAlignment="1">
      <alignment horizontal="right"/>
    </xf>
    <xf numFmtId="3" fontId="0" fillId="13" borderId="25" xfId="0" applyNumberFormat="1" applyFill="1" applyBorder="1"/>
    <xf numFmtId="3" fontId="9" fillId="13" borderId="14" xfId="0" applyNumberFormat="1" applyFont="1" applyFill="1" applyBorder="1"/>
    <xf numFmtId="3" fontId="9" fillId="13" borderId="6" xfId="0" applyNumberFormat="1" applyFont="1" applyFill="1" applyBorder="1"/>
    <xf numFmtId="0" fontId="9" fillId="13" borderId="6" xfId="0" applyFont="1" applyFill="1" applyBorder="1"/>
    <xf numFmtId="3" fontId="9" fillId="13" borderId="52" xfId="0" applyNumberFormat="1" applyFont="1" applyFill="1" applyBorder="1"/>
    <xf numFmtId="3" fontId="9" fillId="13" borderId="69" xfId="0" applyNumberFormat="1" applyFont="1" applyFill="1" applyBorder="1"/>
    <xf numFmtId="3" fontId="9" fillId="13" borderId="25" xfId="0" applyNumberFormat="1" applyFont="1" applyFill="1" applyBorder="1"/>
    <xf numFmtId="3" fontId="9" fillId="13" borderId="6" xfId="0" applyNumberFormat="1" applyFont="1" applyFill="1" applyBorder="1" applyAlignment="1">
      <alignment horizontal="right"/>
    </xf>
    <xf numFmtId="166" fontId="9" fillId="13" borderId="6" xfId="0" applyNumberFormat="1" applyFont="1" applyFill="1" applyBorder="1"/>
    <xf numFmtId="165" fontId="9" fillId="13" borderId="12" xfId="0" applyNumberFormat="1" applyFont="1" applyFill="1" applyBorder="1"/>
    <xf numFmtId="3" fontId="9" fillId="13" borderId="12" xfId="0" applyNumberFormat="1" applyFont="1" applyFill="1" applyBorder="1"/>
    <xf numFmtId="3" fontId="9" fillId="13" borderId="63" xfId="0" applyNumberFormat="1" applyFont="1" applyFill="1" applyBorder="1"/>
    <xf numFmtId="3" fontId="9" fillId="13" borderId="33" xfId="0" applyNumberFormat="1" applyFont="1" applyFill="1" applyBorder="1"/>
    <xf numFmtId="3" fontId="9" fillId="13" borderId="34" xfId="0" applyNumberFormat="1" applyFont="1" applyFill="1" applyBorder="1"/>
    <xf numFmtId="3" fontId="9" fillId="13" borderId="35" xfId="0" applyNumberFormat="1" applyFont="1" applyFill="1" applyBorder="1"/>
    <xf numFmtId="3" fontId="9" fillId="13" borderId="73" xfId="0" applyNumberFormat="1" applyFont="1" applyFill="1" applyBorder="1"/>
    <xf numFmtId="3" fontId="9" fillId="13" borderId="16" xfId="0" applyNumberFormat="1" applyFont="1" applyFill="1" applyBorder="1"/>
    <xf numFmtId="3" fontId="9" fillId="13" borderId="17" xfId="0" applyNumberFormat="1" applyFont="1" applyFill="1" applyBorder="1"/>
    <xf numFmtId="3" fontId="9" fillId="13" borderId="18" xfId="0" applyNumberFormat="1" applyFont="1" applyFill="1" applyBorder="1"/>
    <xf numFmtId="3" fontId="9" fillId="13" borderId="26" xfId="0" applyNumberFormat="1" applyFont="1" applyFill="1" applyBorder="1"/>
    <xf numFmtId="3" fontId="9" fillId="13" borderId="27" xfId="0" applyNumberFormat="1" applyFont="1" applyFill="1" applyBorder="1"/>
    <xf numFmtId="3" fontId="9" fillId="13" borderId="28" xfId="0" applyNumberFormat="1" applyFont="1" applyFill="1" applyBorder="1"/>
    <xf numFmtId="3" fontId="9" fillId="13" borderId="1" xfId="0" applyNumberFormat="1" applyFont="1" applyFill="1" applyBorder="1"/>
    <xf numFmtId="3" fontId="9" fillId="13" borderId="37" xfId="0" applyNumberFormat="1" applyFont="1" applyFill="1" applyBorder="1"/>
    <xf numFmtId="3" fontId="9" fillId="13" borderId="38" xfId="0" applyNumberFormat="1" applyFont="1" applyFill="1" applyBorder="1"/>
    <xf numFmtId="0" fontId="2" fillId="13" borderId="6" xfId="0" applyFont="1" applyFill="1" applyBorder="1"/>
    <xf numFmtId="1" fontId="2" fillId="13" borderId="1" xfId="0" applyNumberFormat="1" applyFont="1" applyFill="1" applyBorder="1"/>
    <xf numFmtId="166" fontId="2" fillId="13" borderId="1" xfId="0" applyNumberFormat="1" applyFont="1" applyFill="1" applyBorder="1"/>
    <xf numFmtId="3" fontId="0" fillId="13" borderId="52" xfId="0" applyNumberFormat="1" applyFill="1" applyBorder="1"/>
    <xf numFmtId="3" fontId="0" fillId="13" borderId="53" xfId="0" applyNumberFormat="1" applyFill="1" applyBorder="1"/>
    <xf numFmtId="3" fontId="0" fillId="13" borderId="61" xfId="0" applyNumberFormat="1" applyFill="1" applyBorder="1"/>
    <xf numFmtId="3" fontId="0" fillId="13" borderId="29" xfId="0" applyNumberFormat="1" applyFill="1" applyBorder="1"/>
    <xf numFmtId="3" fontId="9" fillId="13" borderId="15" xfId="0" applyNumberFormat="1" applyFont="1" applyFill="1" applyBorder="1"/>
    <xf numFmtId="3" fontId="9" fillId="13" borderId="50" xfId="0" applyNumberFormat="1" applyFont="1" applyFill="1" applyBorder="1"/>
    <xf numFmtId="1" fontId="2" fillId="13" borderId="6" xfId="0" applyNumberFormat="1" applyFont="1" applyFill="1" applyBorder="1"/>
    <xf numFmtId="166" fontId="2" fillId="13" borderId="6" xfId="0" applyNumberFormat="1" applyFont="1" applyFill="1" applyBorder="1"/>
    <xf numFmtId="0" fontId="2" fillId="13" borderId="14" xfId="0" applyFont="1" applyFill="1" applyBorder="1"/>
    <xf numFmtId="3" fontId="0" fillId="13" borderId="45" xfId="0" applyNumberFormat="1" applyFill="1" applyBorder="1"/>
    <xf numFmtId="3" fontId="9" fillId="13" borderId="54" xfId="0" applyNumberFormat="1" applyFont="1" applyFill="1" applyBorder="1"/>
    <xf numFmtId="3" fontId="9" fillId="13" borderId="5" xfId="0" applyNumberFormat="1" applyFont="1" applyFill="1" applyBorder="1"/>
    <xf numFmtId="3" fontId="9" fillId="13" borderId="51" xfId="0" applyNumberFormat="1" applyFont="1" applyFill="1" applyBorder="1"/>
    <xf numFmtId="0" fontId="36" fillId="3" borderId="50" xfId="0" applyFont="1" applyFill="1" applyBorder="1" applyAlignment="1">
      <alignment horizontal="center"/>
    </xf>
    <xf numFmtId="0" fontId="36" fillId="3" borderId="7" xfId="0" applyFont="1" applyFill="1" applyBorder="1" applyAlignment="1">
      <alignment horizontal="center"/>
    </xf>
    <xf numFmtId="10" fontId="9" fillId="3" borderId="17" xfId="0" applyNumberFormat="1" applyFont="1" applyFill="1" applyBorder="1"/>
    <xf numFmtId="0" fontId="2" fillId="11" borderId="44" xfId="0" applyFont="1" applyFill="1" applyBorder="1" applyAlignment="1">
      <alignment horizontal="center"/>
    </xf>
    <xf numFmtId="0" fontId="2" fillId="11" borderId="26" xfId="0" applyFont="1" applyFill="1" applyBorder="1" applyAlignment="1">
      <alignment horizontal="center"/>
    </xf>
    <xf numFmtId="9" fontId="9" fillId="13" borderId="33" xfId="0" applyNumberFormat="1" applyFont="1" applyFill="1" applyBorder="1"/>
    <xf numFmtId="9" fontId="9" fillId="13" borderId="34" xfId="0" applyNumberFormat="1" applyFont="1" applyFill="1" applyBorder="1"/>
    <xf numFmtId="9" fontId="9" fillId="13" borderId="35" xfId="0" applyNumberFormat="1" applyFont="1" applyFill="1" applyBorder="1"/>
    <xf numFmtId="9" fontId="9" fillId="13" borderId="16" xfId="0" applyNumberFormat="1" applyFont="1" applyFill="1" applyBorder="1"/>
    <xf numFmtId="9" fontId="9" fillId="13" borderId="17" xfId="0" applyNumberFormat="1" applyFont="1" applyFill="1" applyBorder="1"/>
    <xf numFmtId="9" fontId="9" fillId="13" borderId="18" xfId="0" applyNumberFormat="1" applyFont="1" applyFill="1" applyBorder="1"/>
    <xf numFmtId="9" fontId="9" fillId="13" borderId="26" xfId="0" applyNumberFormat="1" applyFont="1" applyFill="1" applyBorder="1"/>
    <xf numFmtId="9" fontId="9" fillId="13" borderId="27" xfId="0" applyNumberFormat="1" applyFont="1" applyFill="1" applyBorder="1"/>
    <xf numFmtId="9" fontId="9" fillId="13" borderId="28" xfId="0" applyNumberFormat="1" applyFont="1" applyFill="1" applyBorder="1"/>
    <xf numFmtId="9" fontId="9" fillId="13" borderId="52" xfId="0" applyNumberFormat="1" applyFont="1" applyFill="1" applyBorder="1"/>
    <xf numFmtId="9" fontId="9" fillId="13" borderId="53" xfId="0" applyNumberFormat="1" applyFont="1" applyFill="1" applyBorder="1"/>
    <xf numFmtId="9" fontId="9" fillId="13" borderId="70" xfId="0" applyNumberFormat="1" applyFont="1" applyFill="1" applyBorder="1"/>
    <xf numFmtId="9" fontId="9" fillId="13" borderId="6" xfId="0" applyNumberFormat="1" applyFont="1" applyFill="1" applyBorder="1"/>
    <xf numFmtId="9" fontId="9" fillId="13" borderId="57" xfId="0" applyNumberFormat="1" applyFont="1" applyFill="1" applyBorder="1"/>
    <xf numFmtId="9" fontId="9" fillId="13" borderId="15" xfId="0" applyNumberFormat="1" applyFont="1" applyFill="1" applyBorder="1"/>
    <xf numFmtId="9" fontId="9" fillId="13" borderId="50" xfId="0" applyNumberFormat="1" applyFont="1" applyFill="1" applyBorder="1"/>
    <xf numFmtId="3" fontId="9" fillId="13" borderId="74" xfId="0" applyNumberFormat="1" applyFont="1" applyFill="1" applyBorder="1"/>
    <xf numFmtId="3" fontId="9" fillId="13" borderId="19" xfId="0" applyNumberFormat="1" applyFont="1" applyFill="1" applyBorder="1"/>
    <xf numFmtId="3" fontId="9" fillId="13" borderId="20" xfId="0" applyNumberFormat="1" applyFont="1" applyFill="1" applyBorder="1"/>
    <xf numFmtId="3" fontId="9" fillId="13" borderId="21" xfId="0" applyNumberFormat="1" applyFont="1" applyFill="1" applyBorder="1"/>
    <xf numFmtId="3" fontId="9" fillId="13" borderId="32" xfId="0" applyNumberFormat="1" applyFont="1" applyFill="1" applyBorder="1"/>
    <xf numFmtId="3" fontId="9" fillId="13" borderId="30" xfId="0" applyNumberFormat="1" applyFont="1" applyFill="1" applyBorder="1"/>
    <xf numFmtId="3" fontId="9" fillId="13" borderId="31" xfId="0" applyNumberFormat="1" applyFont="1" applyFill="1" applyBorder="1"/>
    <xf numFmtId="3" fontId="0" fillId="13" borderId="62" xfId="0" applyNumberFormat="1" applyFill="1" applyBorder="1"/>
    <xf numFmtId="3" fontId="0" fillId="13" borderId="71" xfId="0" applyNumberFormat="1" applyFill="1" applyBorder="1"/>
    <xf numFmtId="3" fontId="0" fillId="13" borderId="72" xfId="0" applyNumberFormat="1" applyFill="1" applyBorder="1"/>
    <xf numFmtId="3" fontId="0" fillId="13" borderId="11" xfId="0" applyNumberFormat="1" applyFill="1" applyBorder="1"/>
    <xf numFmtId="3" fontId="0" fillId="13" borderId="1" xfId="0" applyNumberFormat="1" applyFill="1" applyBorder="1"/>
    <xf numFmtId="168" fontId="0" fillId="13" borderId="51" xfId="0" applyNumberFormat="1" applyFill="1" applyBorder="1"/>
    <xf numFmtId="168" fontId="0" fillId="13" borderId="15" xfId="0" applyNumberFormat="1" applyFill="1" applyBorder="1"/>
    <xf numFmtId="168" fontId="0" fillId="13" borderId="50" xfId="0" applyNumberFormat="1" applyFill="1" applyBorder="1"/>
    <xf numFmtId="3" fontId="0" fillId="13" borderId="75" xfId="0" applyNumberFormat="1" applyFill="1" applyBorder="1"/>
    <xf numFmtId="3" fontId="0" fillId="13" borderId="65" xfId="0" applyNumberFormat="1" applyFill="1" applyBorder="1"/>
    <xf numFmtId="3" fontId="0" fillId="13" borderId="34" xfId="0" applyNumberFormat="1" applyFill="1" applyBorder="1"/>
    <xf numFmtId="3" fontId="0" fillId="13" borderId="73" xfId="0" applyNumberFormat="1" applyFill="1" applyBorder="1"/>
    <xf numFmtId="3" fontId="0" fillId="13" borderId="5" xfId="0" applyNumberFormat="1" applyFill="1" applyBorder="1"/>
    <xf numFmtId="3" fontId="9" fillId="13" borderId="57" xfId="0" applyNumberFormat="1" applyFont="1" applyFill="1" applyBorder="1"/>
    <xf numFmtId="3" fontId="0" fillId="13" borderId="46" xfId="0" applyNumberFormat="1" applyFill="1" applyBorder="1"/>
    <xf numFmtId="3" fontId="0" fillId="13" borderId="69" xfId="0" applyNumberFormat="1" applyFill="1" applyBorder="1"/>
    <xf numFmtId="168" fontId="0" fillId="13" borderId="57" xfId="0" applyNumberFormat="1" applyFill="1" applyBorder="1"/>
    <xf numFmtId="168" fontId="0" fillId="13" borderId="36" xfId="0" applyNumberFormat="1" applyFill="1" applyBorder="1"/>
    <xf numFmtId="168" fontId="0" fillId="13" borderId="37" xfId="0" applyNumberFormat="1" applyFill="1" applyBorder="1"/>
    <xf numFmtId="3" fontId="9" fillId="13" borderId="65" xfId="0" applyNumberFormat="1" applyFont="1" applyFill="1" applyBorder="1"/>
    <xf numFmtId="3" fontId="9" fillId="13" borderId="53" xfId="0" applyNumberFormat="1" applyFont="1" applyFill="1" applyBorder="1"/>
    <xf numFmtId="3" fontId="9" fillId="13" borderId="59" xfId="0" applyNumberFormat="1" applyFont="1" applyFill="1" applyBorder="1"/>
    <xf numFmtId="3" fontId="9" fillId="13" borderId="61" xfId="0" applyNumberFormat="1" applyFont="1" applyFill="1" applyBorder="1"/>
    <xf numFmtId="3" fontId="9" fillId="13" borderId="43" xfId="0" applyNumberFormat="1" applyFont="1" applyFill="1" applyBorder="1"/>
    <xf numFmtId="3" fontId="0" fillId="13" borderId="59" xfId="0" applyNumberFormat="1" applyFill="1" applyBorder="1"/>
    <xf numFmtId="3" fontId="0" fillId="13" borderId="26" xfId="0" applyNumberFormat="1" applyFill="1" applyBorder="1"/>
    <xf numFmtId="3" fontId="0" fillId="13" borderId="58" xfId="0" applyNumberFormat="1" applyFill="1" applyBorder="1"/>
    <xf numFmtId="3" fontId="0" fillId="13" borderId="15" xfId="0" applyNumberFormat="1" applyFill="1" applyBorder="1"/>
    <xf numFmtId="3" fontId="0" fillId="13" borderId="43" xfId="0" applyNumberFormat="1" applyFill="1" applyBorder="1"/>
    <xf numFmtId="3" fontId="0" fillId="13" borderId="33" xfId="0" applyNumberFormat="1" applyFill="1" applyBorder="1"/>
    <xf numFmtId="3" fontId="0" fillId="13" borderId="64" xfId="0" applyNumberFormat="1" applyFill="1" applyBorder="1"/>
    <xf numFmtId="3" fontId="0" fillId="13" borderId="44" xfId="0" applyNumberFormat="1" applyFill="1" applyBorder="1"/>
    <xf numFmtId="3" fontId="0" fillId="13" borderId="51" xfId="0" applyNumberFormat="1" applyFill="1" applyBorder="1"/>
    <xf numFmtId="3" fontId="0" fillId="13" borderId="42" xfId="0" applyNumberFormat="1" applyFill="1" applyBorder="1"/>
    <xf numFmtId="3" fontId="0" fillId="13" borderId="17" xfId="0" applyNumberFormat="1" applyFill="1" applyBorder="1"/>
    <xf numFmtId="3" fontId="0" fillId="13" borderId="18" xfId="0" applyNumberFormat="1" applyFill="1" applyBorder="1"/>
    <xf numFmtId="3" fontId="0" fillId="13" borderId="57" xfId="0" applyNumberFormat="1" applyFill="1" applyBorder="1"/>
    <xf numFmtId="3" fontId="0" fillId="13" borderId="7" xfId="0" applyNumberFormat="1" applyFill="1" applyBorder="1"/>
    <xf numFmtId="3" fontId="9" fillId="13" borderId="49" xfId="0" applyNumberFormat="1" applyFont="1" applyFill="1" applyBorder="1"/>
    <xf numFmtId="3" fontId="0" fillId="13" borderId="35" xfId="0" applyNumberFormat="1" applyFill="1" applyBorder="1"/>
    <xf numFmtId="3" fontId="0" fillId="13" borderId="16" xfId="0" applyNumberFormat="1" applyFill="1" applyBorder="1"/>
    <xf numFmtId="3" fontId="0" fillId="13" borderId="27" xfId="0" applyNumberFormat="1" applyFill="1" applyBorder="1"/>
    <xf numFmtId="3" fontId="0" fillId="13" borderId="28" xfId="0" applyNumberFormat="1" applyFill="1" applyBorder="1"/>
    <xf numFmtId="3" fontId="0" fillId="13" borderId="22" xfId="0" applyNumberFormat="1" applyFill="1" applyBorder="1"/>
    <xf numFmtId="3" fontId="0" fillId="13" borderId="23" xfId="0" applyNumberFormat="1" applyFill="1" applyBorder="1"/>
    <xf numFmtId="3" fontId="0" fillId="13" borderId="24" xfId="0" applyNumberFormat="1" applyFill="1" applyBorder="1"/>
    <xf numFmtId="3" fontId="0" fillId="13" borderId="39" xfId="0" applyNumberFormat="1" applyFill="1" applyBorder="1"/>
    <xf numFmtId="3" fontId="0" fillId="13" borderId="40" xfId="0" applyNumberFormat="1" applyFill="1" applyBorder="1"/>
    <xf numFmtId="3" fontId="0" fillId="13" borderId="41" xfId="0" applyNumberFormat="1" applyFill="1" applyBorder="1"/>
    <xf numFmtId="3" fontId="0" fillId="13" borderId="50" xfId="0" applyNumberFormat="1" applyFill="1" applyBorder="1"/>
    <xf numFmtId="3" fontId="0" fillId="13" borderId="2" xfId="0" applyNumberFormat="1" applyFill="1" applyBorder="1"/>
    <xf numFmtId="3" fontId="0" fillId="13" borderId="19" xfId="0" applyNumberFormat="1" applyFill="1" applyBorder="1"/>
    <xf numFmtId="3" fontId="0" fillId="13" borderId="20" xfId="0" applyNumberFormat="1" applyFill="1" applyBorder="1"/>
    <xf numFmtId="3" fontId="0" fillId="13" borderId="21" xfId="0" applyNumberFormat="1" applyFill="1" applyBorder="1"/>
    <xf numFmtId="3" fontId="0" fillId="13" borderId="63" xfId="0" applyNumberFormat="1" applyFill="1" applyBorder="1"/>
    <xf numFmtId="3" fontId="0" fillId="13" borderId="49" xfId="0" applyNumberFormat="1" applyFill="1" applyBorder="1"/>
    <xf numFmtId="3" fontId="0" fillId="13" borderId="30" xfId="0" applyNumberFormat="1" applyFill="1" applyBorder="1"/>
    <xf numFmtId="3" fontId="0" fillId="13" borderId="31" xfId="0" applyNumberFormat="1" applyFill="1" applyBorder="1"/>
    <xf numFmtId="3" fontId="0" fillId="13" borderId="36" xfId="0" applyNumberFormat="1" applyFill="1" applyBorder="1"/>
    <xf numFmtId="3" fontId="0" fillId="13" borderId="66" xfId="0" applyNumberFormat="1" applyFill="1" applyBorder="1"/>
    <xf numFmtId="3" fontId="0" fillId="13" borderId="13" xfId="0" applyNumberFormat="1" applyFill="1" applyBorder="1"/>
    <xf numFmtId="3" fontId="0" fillId="13" borderId="32" xfId="0" applyNumberFormat="1" applyFill="1" applyBorder="1"/>
    <xf numFmtId="3" fontId="0" fillId="13" borderId="4" xfId="0" applyNumberFormat="1" applyFill="1" applyBorder="1"/>
    <xf numFmtId="3" fontId="0" fillId="13" borderId="37" xfId="0" applyNumberFormat="1" applyFill="1" applyBorder="1"/>
    <xf numFmtId="3" fontId="0" fillId="13" borderId="38" xfId="0" applyNumberFormat="1" applyFill="1" applyBorder="1"/>
    <xf numFmtId="3" fontId="0" fillId="13" borderId="74" xfId="0" applyNumberFormat="1" applyFill="1" applyBorder="1"/>
    <xf numFmtId="2" fontId="9" fillId="13" borderId="63" xfId="0" applyNumberFormat="1" applyFont="1" applyFill="1" applyBorder="1"/>
    <xf numFmtId="2" fontId="9" fillId="13" borderId="33" xfId="0" applyNumberFormat="1" applyFont="1" applyFill="1" applyBorder="1"/>
    <xf numFmtId="2" fontId="9" fillId="13" borderId="34" xfId="0" applyNumberFormat="1" applyFont="1" applyFill="1" applyBorder="1"/>
    <xf numFmtId="2" fontId="9" fillId="13" borderId="35" xfId="0" applyNumberFormat="1" applyFont="1" applyFill="1" applyBorder="1"/>
    <xf numFmtId="2" fontId="9" fillId="13" borderId="73" xfId="0" applyNumberFormat="1" applyFont="1" applyFill="1" applyBorder="1"/>
    <xf numFmtId="2" fontId="9" fillId="13" borderId="16" xfId="0" applyNumberFormat="1" applyFont="1" applyFill="1" applyBorder="1"/>
    <xf numFmtId="2" fontId="9" fillId="13" borderId="17" xfId="0" applyNumberFormat="1" applyFont="1" applyFill="1" applyBorder="1"/>
    <xf numFmtId="2" fontId="9" fillId="13" borderId="18" xfId="0" applyNumberFormat="1" applyFont="1" applyFill="1" applyBorder="1"/>
    <xf numFmtId="2" fontId="9" fillId="13" borderId="74" xfId="0" applyNumberFormat="1" applyFont="1" applyFill="1" applyBorder="1"/>
    <xf numFmtId="2" fontId="9" fillId="13" borderId="19" xfId="0" applyNumberFormat="1" applyFont="1" applyFill="1" applyBorder="1"/>
    <xf numFmtId="2" fontId="9" fillId="13" borderId="20" xfId="0" applyNumberFormat="1" applyFont="1" applyFill="1" applyBorder="1"/>
    <xf numFmtId="2" fontId="9" fillId="13" borderId="21" xfId="0" applyNumberFormat="1" applyFont="1" applyFill="1" applyBorder="1"/>
    <xf numFmtId="2" fontId="9" fillId="13" borderId="1" xfId="0" applyNumberFormat="1" applyFont="1" applyFill="1" applyBorder="1"/>
    <xf numFmtId="2" fontId="9" fillId="13" borderId="51" xfId="0" applyNumberFormat="1" applyFont="1" applyFill="1" applyBorder="1"/>
    <xf numFmtId="2" fontId="9" fillId="13" borderId="15" xfId="0" applyNumberFormat="1" applyFont="1" applyFill="1" applyBorder="1"/>
    <xf numFmtId="2" fontId="9" fillId="13" borderId="50" xfId="0" applyNumberFormat="1" applyFont="1" applyFill="1" applyBorder="1"/>
    <xf numFmtId="0" fontId="9" fillId="13" borderId="30" xfId="0" applyFont="1" applyFill="1" applyBorder="1"/>
    <xf numFmtId="2" fontId="0" fillId="13" borderId="63" xfId="0" applyNumberFormat="1" applyFill="1" applyBorder="1"/>
    <xf numFmtId="2" fontId="0" fillId="13" borderId="29" xfId="0" applyNumberFormat="1" applyFill="1" applyBorder="1"/>
    <xf numFmtId="2" fontId="0" fillId="13" borderId="5" xfId="0" applyNumberFormat="1" applyFill="1" applyBorder="1"/>
    <xf numFmtId="2" fontId="0" fillId="13" borderId="62" xfId="0" applyNumberFormat="1" applyFill="1" applyBorder="1"/>
    <xf numFmtId="2" fontId="0" fillId="13" borderId="10" xfId="0" applyNumberFormat="1" applyFill="1" applyBorder="1"/>
    <xf numFmtId="2" fontId="0" fillId="13" borderId="6" xfId="0" applyNumberFormat="1" applyFill="1" applyBorder="1"/>
    <xf numFmtId="2" fontId="0" fillId="13" borderId="12" xfId="0" applyNumberFormat="1" applyFill="1" applyBorder="1"/>
    <xf numFmtId="2" fontId="0" fillId="13" borderId="51" xfId="0" applyNumberFormat="1" applyFill="1" applyBorder="1"/>
    <xf numFmtId="2" fontId="0" fillId="13" borderId="15" xfId="0" applyNumberFormat="1" applyFill="1" applyBorder="1"/>
    <xf numFmtId="2" fontId="0" fillId="13" borderId="50" xfId="0" applyNumberFormat="1" applyFill="1" applyBorder="1"/>
    <xf numFmtId="0" fontId="9" fillId="13" borderId="32" xfId="0" applyFont="1" applyFill="1" applyBorder="1"/>
    <xf numFmtId="2" fontId="0" fillId="13" borderId="52" xfId="0" applyNumberFormat="1" applyFill="1" applyBorder="1"/>
    <xf numFmtId="2" fontId="0" fillId="13" borderId="14" xfId="0" applyNumberFormat="1" applyFill="1" applyBorder="1"/>
    <xf numFmtId="2" fontId="0" fillId="13" borderId="1" xfId="0" applyNumberFormat="1" applyFill="1" applyBorder="1"/>
    <xf numFmtId="2" fontId="0" fillId="13" borderId="64" xfId="0" applyNumberFormat="1" applyFill="1" applyBorder="1"/>
    <xf numFmtId="2" fontId="0" fillId="13" borderId="11" xfId="0" applyNumberFormat="1" applyFill="1" applyBorder="1"/>
    <xf numFmtId="0" fontId="9" fillId="13" borderId="57" xfId="0" applyFont="1" applyFill="1" applyBorder="1"/>
    <xf numFmtId="2" fontId="0" fillId="13" borderId="69" xfId="0" applyNumberFormat="1" applyFill="1" applyBorder="1"/>
    <xf numFmtId="2" fontId="0" fillId="13" borderId="45" xfId="0" applyNumberFormat="1" applyFill="1" applyBorder="1"/>
    <xf numFmtId="2" fontId="0" fillId="13" borderId="0" xfId="0" applyNumberFormat="1" applyFill="1"/>
    <xf numFmtId="3" fontId="9" fillId="13" borderId="70" xfId="0" applyNumberFormat="1" applyFont="1" applyFill="1" applyBorder="1"/>
    <xf numFmtId="3" fontId="0" fillId="13" borderId="70" xfId="0" applyNumberFormat="1" applyFill="1" applyBorder="1"/>
    <xf numFmtId="3" fontId="0" fillId="13" borderId="48" xfId="0" applyNumberFormat="1" applyFill="1" applyBorder="1"/>
    <xf numFmtId="3" fontId="0" fillId="13" borderId="60" xfId="0" applyNumberFormat="1" applyFill="1" applyBorder="1"/>
    <xf numFmtId="3" fontId="0" fillId="13" borderId="66" xfId="0" applyNumberFormat="1" applyFill="1" applyBorder="1" applyAlignment="1">
      <alignment horizontal="right"/>
    </xf>
    <xf numFmtId="168" fontId="9" fillId="13" borderId="52" xfId="0" applyNumberFormat="1" applyFont="1" applyFill="1" applyBorder="1"/>
    <xf numFmtId="168" fontId="9" fillId="13" borderId="65" xfId="0" applyNumberFormat="1" applyFont="1" applyFill="1" applyBorder="1"/>
    <xf numFmtId="168" fontId="9" fillId="13" borderId="34" xfId="0" applyNumberFormat="1" applyFont="1" applyFill="1" applyBorder="1"/>
    <xf numFmtId="168" fontId="9" fillId="13" borderId="35" xfId="0" applyNumberFormat="1" applyFont="1" applyFill="1" applyBorder="1"/>
    <xf numFmtId="168" fontId="9" fillId="13" borderId="53" xfId="0" applyNumberFormat="1" applyFont="1" applyFill="1" applyBorder="1"/>
    <xf numFmtId="168" fontId="9" fillId="13" borderId="59" xfId="0" applyNumberFormat="1" applyFont="1" applyFill="1" applyBorder="1"/>
    <xf numFmtId="168" fontId="9" fillId="13" borderId="17" xfId="0" applyNumberFormat="1" applyFont="1" applyFill="1" applyBorder="1"/>
    <xf numFmtId="168" fontId="9" fillId="13" borderId="18" xfId="0" applyNumberFormat="1" applyFont="1" applyFill="1" applyBorder="1"/>
    <xf numFmtId="168" fontId="9" fillId="13" borderId="70" xfId="0" applyNumberFormat="1" applyFont="1" applyFill="1" applyBorder="1"/>
    <xf numFmtId="168" fontId="9" fillId="13" borderId="43" xfId="0" applyNumberFormat="1" applyFont="1" applyFill="1" applyBorder="1"/>
    <xf numFmtId="168" fontId="9" fillId="13" borderId="20" xfId="0" applyNumberFormat="1" applyFont="1" applyFill="1" applyBorder="1"/>
    <xf numFmtId="168" fontId="9" fillId="13" borderId="21" xfId="0" applyNumberFormat="1" applyFont="1" applyFill="1" applyBorder="1"/>
    <xf numFmtId="168" fontId="9" fillId="13" borderId="6" xfId="0" applyNumberFormat="1" applyFont="1" applyFill="1" applyBorder="1"/>
    <xf numFmtId="168" fontId="9" fillId="13" borderId="57" xfId="0" applyNumberFormat="1" applyFont="1" applyFill="1" applyBorder="1"/>
    <xf numFmtId="168" fontId="9" fillId="13" borderId="15" xfId="0" applyNumberFormat="1" applyFont="1" applyFill="1" applyBorder="1"/>
    <xf numFmtId="168" fontId="9" fillId="13" borderId="50" xfId="0" applyNumberFormat="1" applyFont="1" applyFill="1" applyBorder="1"/>
    <xf numFmtId="3" fontId="9" fillId="13" borderId="66" xfId="0" applyNumberFormat="1" applyFont="1" applyFill="1" applyBorder="1"/>
    <xf numFmtId="3" fontId="9" fillId="13" borderId="13" xfId="0" applyNumberFormat="1" applyFont="1" applyFill="1" applyBorder="1"/>
    <xf numFmtId="0" fontId="9" fillId="13" borderId="61" xfId="0" applyFont="1" applyFill="1" applyBorder="1"/>
    <xf numFmtId="1" fontId="9" fillId="13" borderId="6" xfId="0" applyNumberFormat="1" applyFont="1" applyFill="1" applyBorder="1"/>
    <xf numFmtId="1" fontId="9" fillId="13" borderId="1" xfId="0" applyNumberFormat="1" applyFont="1" applyFill="1" applyBorder="1"/>
    <xf numFmtId="3" fontId="2" fillId="13" borderId="76" xfId="0" applyNumberFormat="1" applyFont="1" applyFill="1" applyBorder="1"/>
    <xf numFmtId="3" fontId="2" fillId="13" borderId="35" xfId="0" applyNumberFormat="1" applyFont="1" applyFill="1" applyBorder="1"/>
    <xf numFmtId="3" fontId="2" fillId="13" borderId="52" xfId="0" applyNumberFormat="1" applyFont="1" applyFill="1" applyBorder="1"/>
    <xf numFmtId="3" fontId="2" fillId="13" borderId="56" xfId="0" applyNumberFormat="1" applyFont="1" applyFill="1" applyBorder="1"/>
    <xf numFmtId="3" fontId="2" fillId="13" borderId="24" xfId="0" applyNumberFormat="1" applyFont="1" applyFill="1" applyBorder="1"/>
    <xf numFmtId="3" fontId="2" fillId="13" borderId="69" xfId="0" applyNumberFormat="1" applyFont="1" applyFill="1" applyBorder="1"/>
    <xf numFmtId="3" fontId="2" fillId="13" borderId="77" xfId="0" applyNumberFormat="1" applyFont="1" applyFill="1" applyBorder="1"/>
    <xf numFmtId="3" fontId="2" fillId="13" borderId="14" xfId="0" applyNumberFormat="1" applyFont="1" applyFill="1" applyBorder="1"/>
    <xf numFmtId="3" fontId="2" fillId="13" borderId="38" xfId="0" applyNumberFormat="1" applyFont="1" applyFill="1" applyBorder="1"/>
    <xf numFmtId="168" fontId="9" fillId="13" borderId="69" xfId="0" applyNumberFormat="1" applyFont="1" applyFill="1" applyBorder="1"/>
    <xf numFmtId="168" fontId="2" fillId="13" borderId="6" xfId="0" applyNumberFormat="1" applyFont="1" applyFill="1" applyBorder="1"/>
    <xf numFmtId="168" fontId="2" fillId="13" borderId="57" xfId="0" applyNumberFormat="1" applyFont="1" applyFill="1" applyBorder="1"/>
    <xf numFmtId="168" fontId="2" fillId="13" borderId="15" xfId="0" applyNumberFormat="1" applyFont="1" applyFill="1" applyBorder="1"/>
    <xf numFmtId="168" fontId="2" fillId="13" borderId="54" xfId="0" applyNumberFormat="1" applyFont="1" applyFill="1" applyBorder="1"/>
    <xf numFmtId="168" fontId="9" fillId="13" borderId="51" xfId="0" applyNumberFormat="1" applyFont="1" applyFill="1" applyBorder="1"/>
    <xf numFmtId="168" fontId="9" fillId="13" borderId="33" xfId="0" applyNumberFormat="1" applyFont="1" applyFill="1" applyBorder="1"/>
    <xf numFmtId="168" fontId="9" fillId="13" borderId="16" xfId="0" applyNumberFormat="1" applyFont="1" applyFill="1" applyBorder="1"/>
    <xf numFmtId="168" fontId="9" fillId="13" borderId="61" xfId="0" applyNumberFormat="1" applyFont="1" applyFill="1" applyBorder="1"/>
    <xf numFmtId="168" fontId="9" fillId="13" borderId="26" xfId="0" applyNumberFormat="1" applyFont="1" applyFill="1" applyBorder="1"/>
    <xf numFmtId="168" fontId="9" fillId="13" borderId="27" xfId="0" applyNumberFormat="1" applyFont="1" applyFill="1" applyBorder="1"/>
    <xf numFmtId="168" fontId="9" fillId="13" borderId="36" xfId="0" applyNumberFormat="1" applyFont="1" applyFill="1" applyBorder="1"/>
    <xf numFmtId="168" fontId="9" fillId="13" borderId="37" xfId="0" applyNumberFormat="1" applyFont="1" applyFill="1" applyBorder="1"/>
    <xf numFmtId="3" fontId="2" fillId="13" borderId="1" xfId="0" applyNumberFormat="1" applyFont="1" applyFill="1" applyBorder="1"/>
    <xf numFmtId="3" fontId="2" fillId="13" borderId="51" xfId="0" applyNumberFormat="1" applyFont="1" applyFill="1" applyBorder="1"/>
    <xf numFmtId="3" fontId="2" fillId="13" borderId="15" xfId="0" applyNumberFormat="1" applyFont="1" applyFill="1" applyBorder="1"/>
    <xf numFmtId="3" fontId="2" fillId="13" borderId="6" xfId="0" applyNumberFormat="1" applyFont="1" applyFill="1" applyBorder="1"/>
    <xf numFmtId="0" fontId="9" fillId="13" borderId="69" xfId="0" applyFont="1" applyFill="1" applyBorder="1"/>
    <xf numFmtId="9" fontId="0" fillId="13" borderId="6" xfId="0" applyNumberFormat="1" applyFill="1" applyBorder="1"/>
    <xf numFmtId="3" fontId="0" fillId="13" borderId="12" xfId="0" applyNumberFormat="1" applyFill="1" applyBorder="1"/>
    <xf numFmtId="3" fontId="0" fillId="13" borderId="29" xfId="0" applyNumberFormat="1" applyFill="1" applyBorder="1" applyAlignment="1">
      <alignment horizontal="right"/>
    </xf>
    <xf numFmtId="3" fontId="0" fillId="13" borderId="22" xfId="0" applyNumberFormat="1" applyFill="1" applyBorder="1" applyAlignment="1">
      <alignment horizontal="right"/>
    </xf>
    <xf numFmtId="3" fontId="2" fillId="13" borderId="51" xfId="0" applyNumberFormat="1" applyFont="1" applyFill="1" applyBorder="1" applyAlignment="1">
      <alignment horizontal="right"/>
    </xf>
    <xf numFmtId="3" fontId="0" fillId="13" borderId="19" xfId="0" applyNumberFormat="1" applyFill="1" applyBorder="1" applyAlignment="1">
      <alignment horizontal="right"/>
    </xf>
    <xf numFmtId="168" fontId="2" fillId="13" borderId="51" xfId="0" applyNumberFormat="1" applyFont="1" applyFill="1" applyBorder="1" applyAlignment="1">
      <alignment horizontal="right"/>
    </xf>
    <xf numFmtId="168" fontId="2" fillId="13" borderId="51" xfId="0" applyNumberFormat="1" applyFont="1" applyFill="1" applyBorder="1"/>
    <xf numFmtId="0" fontId="10" fillId="13" borderId="4" xfId="0" applyFont="1" applyFill="1" applyBorder="1" applyAlignment="1">
      <alignment horizontal="center"/>
    </xf>
    <xf numFmtId="167" fontId="2" fillId="13" borderId="51" xfId="0" applyNumberFormat="1" applyFont="1" applyFill="1" applyBorder="1" applyAlignment="1">
      <alignment horizontal="right"/>
    </xf>
    <xf numFmtId="3" fontId="21" fillId="13" borderId="24" xfId="0" applyNumberFormat="1" applyFont="1" applyFill="1" applyBorder="1" applyAlignment="1">
      <alignment horizontal="center"/>
    </xf>
    <xf numFmtId="3" fontId="22" fillId="13" borderId="50" xfId="0" applyNumberFormat="1" applyFont="1" applyFill="1" applyBorder="1" applyAlignment="1">
      <alignment horizontal="center"/>
    </xf>
    <xf numFmtId="3" fontId="21" fillId="13" borderId="21" xfId="0" applyNumberFormat="1" applyFont="1" applyFill="1" applyBorder="1" applyAlignment="1">
      <alignment horizontal="center"/>
    </xf>
    <xf numFmtId="3" fontId="23" fillId="13" borderId="22" xfId="0" applyNumberFormat="1" applyFont="1" applyFill="1" applyBorder="1"/>
    <xf numFmtId="2" fontId="23" fillId="13" borderId="62" xfId="0" applyNumberFormat="1" applyFont="1" applyFill="1" applyBorder="1"/>
    <xf numFmtId="3" fontId="23" fillId="13" borderId="58" xfId="0" applyNumberFormat="1" applyFont="1" applyFill="1" applyBorder="1"/>
    <xf numFmtId="9" fontId="23" fillId="13" borderId="62" xfId="0" applyNumberFormat="1" applyFont="1" applyFill="1" applyBorder="1"/>
    <xf numFmtId="3" fontId="23" fillId="13" borderId="16" xfId="0" applyNumberFormat="1" applyFont="1" applyFill="1" applyBorder="1"/>
    <xf numFmtId="3" fontId="23" fillId="13" borderId="26" xfId="0" applyNumberFormat="1" applyFont="1" applyFill="1" applyBorder="1"/>
    <xf numFmtId="3" fontId="23" fillId="13" borderId="42" xfId="0" applyNumberFormat="1" applyFont="1" applyFill="1" applyBorder="1"/>
    <xf numFmtId="9" fontId="23" fillId="13" borderId="10" xfId="0" applyNumberFormat="1" applyFont="1" applyFill="1" applyBorder="1"/>
    <xf numFmtId="2" fontId="9" fillId="13" borderId="7" xfId="0" applyNumberFormat="1" applyFont="1" applyFill="1" applyBorder="1"/>
    <xf numFmtId="9" fontId="23" fillId="13" borderId="6" xfId="0" applyNumberFormat="1" applyFont="1" applyFill="1" applyBorder="1"/>
    <xf numFmtId="9" fontId="23" fillId="13" borderId="14" xfId="0" applyNumberFormat="1" applyFont="1" applyFill="1" applyBorder="1"/>
    <xf numFmtId="3" fontId="23" fillId="13" borderId="39" xfId="0" applyNumberFormat="1" applyFont="1" applyFill="1" applyBorder="1"/>
    <xf numFmtId="2" fontId="23" fillId="13" borderId="10" xfId="0" applyNumberFormat="1" applyFont="1" applyFill="1" applyBorder="1"/>
    <xf numFmtId="9" fontId="23" fillId="13" borderId="53" xfId="0" applyNumberFormat="1" applyFont="1" applyFill="1" applyBorder="1"/>
    <xf numFmtId="3" fontId="23" fillId="13" borderId="59" xfId="0" applyNumberFormat="1" applyFont="1" applyFill="1" applyBorder="1"/>
    <xf numFmtId="9" fontId="23" fillId="13" borderId="70" xfId="0" applyNumberFormat="1" applyFont="1" applyFill="1" applyBorder="1"/>
    <xf numFmtId="9" fontId="23" fillId="13" borderId="7" xfId="0" applyNumberFormat="1" applyFont="1" applyFill="1" applyBorder="1"/>
    <xf numFmtId="3" fontId="23" fillId="13" borderId="18" xfId="0" applyNumberFormat="1" applyFont="1" applyFill="1" applyBorder="1"/>
    <xf numFmtId="3" fontId="23" fillId="13" borderId="28" xfId="0" applyNumberFormat="1" applyFont="1" applyFill="1" applyBorder="1"/>
    <xf numFmtId="3" fontId="23" fillId="13" borderId="24" xfId="0" applyNumberFormat="1" applyFont="1" applyFill="1" applyBorder="1"/>
    <xf numFmtId="3" fontId="23" fillId="13" borderId="17" xfId="0" applyNumberFormat="1" applyFont="1" applyFill="1" applyBorder="1"/>
    <xf numFmtId="2" fontId="23" fillId="13" borderId="24" xfId="0" applyNumberFormat="1" applyFont="1" applyFill="1" applyBorder="1"/>
    <xf numFmtId="2" fontId="23" fillId="13" borderId="38" xfId="0" applyNumberFormat="1" applyFont="1" applyFill="1" applyBorder="1"/>
    <xf numFmtId="2" fontId="23" fillId="13" borderId="18" xfId="0" applyNumberFormat="1" applyFont="1" applyFill="1" applyBorder="1"/>
    <xf numFmtId="2" fontId="23" fillId="13" borderId="21" xfId="0" applyNumberFormat="1" applyFont="1" applyFill="1" applyBorder="1"/>
    <xf numFmtId="2" fontId="23" fillId="13" borderId="41" xfId="0" applyNumberFormat="1" applyFont="1" applyFill="1" applyBorder="1"/>
    <xf numFmtId="9" fontId="9" fillId="13" borderId="76" xfId="0" applyNumberFormat="1" applyFont="1" applyFill="1" applyBorder="1"/>
    <xf numFmtId="9" fontId="9" fillId="13" borderId="55" xfId="0" applyNumberFormat="1" applyFont="1" applyFill="1" applyBorder="1"/>
    <xf numFmtId="168" fontId="9" fillId="13" borderId="44" xfId="0" applyNumberFormat="1" applyFont="1" applyFill="1" applyBorder="1"/>
    <xf numFmtId="168" fontId="0" fillId="13" borderId="33" xfId="0" applyNumberFormat="1" applyFill="1" applyBorder="1"/>
    <xf numFmtId="168" fontId="0" fillId="13" borderId="34" xfId="0" applyNumberFormat="1" applyFill="1" applyBorder="1"/>
    <xf numFmtId="168" fontId="9" fillId="13" borderId="49" xfId="0" applyNumberFormat="1" applyFont="1" applyFill="1" applyBorder="1"/>
    <xf numFmtId="168" fontId="9" fillId="13" borderId="30" xfId="0" applyNumberFormat="1" applyFont="1" applyFill="1" applyBorder="1"/>
    <xf numFmtId="9" fontId="9" fillId="13" borderId="54" xfId="0" applyNumberFormat="1" applyFont="1" applyFill="1" applyBorder="1"/>
    <xf numFmtId="0" fontId="0" fillId="13" borderId="5" xfId="0" applyFill="1" applyBorder="1"/>
    <xf numFmtId="0" fontId="0" fillId="13" borderId="11" xfId="0" applyFill="1" applyBorder="1"/>
    <xf numFmtId="2" fontId="0" fillId="13" borderId="75" xfId="0" applyNumberFormat="1" applyFill="1" applyBorder="1"/>
    <xf numFmtId="2" fontId="0" fillId="13" borderId="61" xfId="0" applyNumberFormat="1" applyFill="1" applyBorder="1"/>
    <xf numFmtId="2" fontId="0" fillId="13" borderId="72" xfId="0" applyNumberFormat="1" applyFill="1" applyBorder="1"/>
    <xf numFmtId="3" fontId="0" fillId="13" borderId="73" xfId="0" quotePrefix="1" applyNumberFormat="1" applyFill="1" applyBorder="1"/>
    <xf numFmtId="166" fontId="2" fillId="13" borderId="7" xfId="0" applyNumberFormat="1" applyFont="1" applyFill="1" applyBorder="1"/>
    <xf numFmtId="9" fontId="0" fillId="13" borderId="1" xfId="0" applyNumberFormat="1" applyFill="1" applyBorder="1"/>
    <xf numFmtId="2" fontId="0" fillId="13" borderId="71" xfId="0" applyNumberFormat="1" applyFill="1" applyBorder="1"/>
    <xf numFmtId="0" fontId="9" fillId="3" borderId="11" xfId="0" applyFont="1" applyFill="1" applyBorder="1"/>
    <xf numFmtId="1" fontId="36" fillId="13" borderId="24" xfId="0" applyNumberFormat="1" applyFont="1" applyFill="1" applyBorder="1" applyAlignment="1">
      <alignment horizontal="center"/>
    </xf>
    <xf numFmtId="1" fontId="35" fillId="13" borderId="50" xfId="0" applyNumberFormat="1" applyFont="1" applyFill="1" applyBorder="1" applyAlignment="1">
      <alignment horizontal="center"/>
    </xf>
    <xf numFmtId="0" fontId="0" fillId="14" borderId="0" xfId="0" applyFill="1"/>
    <xf numFmtId="168" fontId="0" fillId="14" borderId="0" xfId="0" applyNumberFormat="1" applyFill="1"/>
    <xf numFmtId="168" fontId="8" fillId="14" borderId="0" xfId="0" applyNumberFormat="1" applyFont="1" applyFill="1"/>
    <xf numFmtId="0" fontId="8" fillId="14" borderId="0" xfId="0" applyFont="1" applyFill="1"/>
    <xf numFmtId="0" fontId="2" fillId="14" borderId="0" xfId="0" applyFont="1" applyFill="1"/>
    <xf numFmtId="1" fontId="8" fillId="14" borderId="0" xfId="0" applyNumberFormat="1" applyFont="1" applyFill="1"/>
    <xf numFmtId="0" fontId="9" fillId="3" borderId="3" xfId="0" applyFont="1" applyFill="1" applyBorder="1" applyAlignment="1">
      <alignment horizontal="right"/>
    </xf>
    <xf numFmtId="3" fontId="9" fillId="3" borderId="10" xfId="0" applyNumberFormat="1" applyFont="1" applyFill="1" applyBorder="1"/>
    <xf numFmtId="0" fontId="9" fillId="3" borderId="4" xfId="0" applyFont="1" applyFill="1" applyBorder="1" applyAlignment="1">
      <alignment horizontal="right"/>
    </xf>
    <xf numFmtId="0" fontId="2" fillId="11" borderId="2" xfId="0" applyFont="1" applyFill="1" applyBorder="1"/>
    <xf numFmtId="0" fontId="3" fillId="14" borderId="0" xfId="0" applyFont="1" applyFill="1"/>
    <xf numFmtId="9" fontId="23" fillId="13" borderId="64" xfId="0" applyNumberFormat="1" applyFont="1" applyFill="1" applyBorder="1" applyAlignment="1">
      <alignment horizontal="center"/>
    </xf>
    <xf numFmtId="9" fontId="23" fillId="13" borderId="10" xfId="0" applyNumberFormat="1" applyFont="1" applyFill="1" applyBorder="1" applyAlignment="1">
      <alignment horizontal="center"/>
    </xf>
    <xf numFmtId="9" fontId="23" fillId="13" borderId="7" xfId="0" applyNumberFormat="1" applyFont="1" applyFill="1" applyBorder="1" applyAlignment="1">
      <alignment horizontal="center"/>
    </xf>
    <xf numFmtId="9" fontId="23" fillId="13" borderId="48" xfId="0" applyNumberFormat="1" applyFont="1" applyFill="1" applyBorder="1" applyAlignment="1">
      <alignment horizontal="center"/>
    </xf>
    <xf numFmtId="9" fontId="23" fillId="13" borderId="0" xfId="0" applyNumberFormat="1" applyFont="1" applyFill="1" applyAlignment="1">
      <alignment horizontal="center"/>
    </xf>
    <xf numFmtId="9" fontId="23" fillId="13" borderId="12" xfId="0" applyNumberFormat="1" applyFont="1" applyFill="1" applyBorder="1" applyAlignment="1">
      <alignment horizontal="center"/>
    </xf>
    <xf numFmtId="3" fontId="0" fillId="3" borderId="60" xfId="0" applyNumberFormat="1" applyFill="1" applyBorder="1"/>
    <xf numFmtId="3" fontId="23" fillId="13" borderId="41" xfId="0" applyNumberFormat="1" applyFont="1" applyFill="1" applyBorder="1"/>
    <xf numFmtId="0" fontId="23" fillId="3" borderId="65" xfId="0" applyFont="1" applyFill="1" applyBorder="1"/>
    <xf numFmtId="0" fontId="23" fillId="3" borderId="63" xfId="0" applyFont="1" applyFill="1" applyBorder="1"/>
    <xf numFmtId="167" fontId="23" fillId="3" borderId="65" xfId="0" applyNumberFormat="1" applyFont="1" applyFill="1" applyBorder="1"/>
    <xf numFmtId="167" fontId="17" fillId="3" borderId="51" xfId="0" applyNumberFormat="1" applyFont="1" applyFill="1" applyBorder="1"/>
    <xf numFmtId="3" fontId="17" fillId="3" borderId="57" xfId="0" applyNumberFormat="1" applyFont="1" applyFill="1" applyBorder="1"/>
    <xf numFmtId="167" fontId="23" fillId="3" borderId="58" xfId="0" applyNumberFormat="1" applyFont="1" applyFill="1" applyBorder="1"/>
    <xf numFmtId="0" fontId="23" fillId="3" borderId="4" xfId="0" applyFont="1" applyFill="1" applyBorder="1"/>
    <xf numFmtId="1" fontId="2" fillId="13" borderId="14" xfId="0" applyNumberFormat="1" applyFont="1" applyFill="1" applyBorder="1"/>
    <xf numFmtId="0" fontId="23" fillId="3" borderId="22" xfId="0" applyFont="1" applyFill="1" applyBorder="1"/>
    <xf numFmtId="0" fontId="23" fillId="3" borderId="19" xfId="0" applyFont="1" applyFill="1" applyBorder="1"/>
    <xf numFmtId="0" fontId="0" fillId="9" borderId="7" xfId="0" applyFill="1" applyBorder="1"/>
    <xf numFmtId="0" fontId="12" fillId="9" borderId="1" xfId="0" applyFont="1" applyFill="1" applyBorder="1"/>
    <xf numFmtId="0" fontId="12" fillId="9" borderId="12" xfId="0" applyFont="1" applyFill="1" applyBorder="1"/>
    <xf numFmtId="0" fontId="3" fillId="9" borderId="12" xfId="0" applyFont="1" applyFill="1" applyBorder="1"/>
    <xf numFmtId="0" fontId="3" fillId="9" borderId="7" xfId="0" applyFont="1" applyFill="1" applyBorder="1"/>
    <xf numFmtId="0" fontId="12" fillId="9" borderId="7" xfId="0" applyFont="1" applyFill="1" applyBorder="1"/>
    <xf numFmtId="3" fontId="9" fillId="13" borderId="22" xfId="0" applyNumberFormat="1" applyFont="1" applyFill="1" applyBorder="1"/>
    <xf numFmtId="3" fontId="9" fillId="13" borderId="23" xfId="0" applyNumberFormat="1" applyFont="1" applyFill="1" applyBorder="1"/>
    <xf numFmtId="0" fontId="53" fillId="0" borderId="0" xfId="0" applyFont="1"/>
    <xf numFmtId="0" fontId="53" fillId="10" borderId="0" xfId="0" applyFont="1" applyFill="1"/>
    <xf numFmtId="0" fontId="9" fillId="9" borderId="12" xfId="0" applyFont="1" applyFill="1" applyBorder="1"/>
    <xf numFmtId="0" fontId="9" fillId="9" borderId="7" xfId="0" applyFont="1" applyFill="1" applyBorder="1"/>
    <xf numFmtId="0" fontId="54" fillId="10" borderId="0" xfId="0" applyFont="1" applyFill="1"/>
    <xf numFmtId="1" fontId="20" fillId="3" borderId="8" xfId="0" applyNumberFormat="1" applyFont="1" applyFill="1" applyBorder="1"/>
    <xf numFmtId="0" fontId="38" fillId="14" borderId="0" xfId="0" applyFont="1" applyFill="1"/>
    <xf numFmtId="1" fontId="8" fillId="14" borderId="0" xfId="0" applyNumberFormat="1" applyFont="1" applyFill="1" applyAlignment="1">
      <alignment horizontal="right"/>
    </xf>
    <xf numFmtId="0" fontId="9" fillId="3" borderId="12" xfId="0" applyFont="1" applyFill="1" applyBorder="1"/>
    <xf numFmtId="0" fontId="9" fillId="3" borderId="51" xfId="0" applyFont="1" applyFill="1" applyBorder="1"/>
    <xf numFmtId="0" fontId="9" fillId="3" borderId="50" xfId="0" applyFont="1" applyFill="1" applyBorder="1"/>
    <xf numFmtId="3" fontId="9" fillId="3" borderId="17" xfId="0" applyNumberFormat="1" applyFont="1" applyFill="1" applyBorder="1"/>
    <xf numFmtId="3" fontId="9" fillId="3" borderId="51" xfId="0" applyNumberFormat="1" applyFont="1" applyFill="1" applyBorder="1"/>
    <xf numFmtId="3" fontId="9" fillId="3" borderId="33" xfId="0" applyNumberFormat="1" applyFont="1" applyFill="1" applyBorder="1"/>
    <xf numFmtId="3" fontId="9" fillId="3" borderId="34" xfId="0" applyNumberFormat="1" applyFont="1" applyFill="1" applyBorder="1"/>
    <xf numFmtId="10" fontId="9" fillId="3" borderId="34" xfId="0" applyNumberFormat="1" applyFont="1" applyFill="1" applyBorder="1"/>
    <xf numFmtId="3" fontId="9" fillId="3" borderId="16" xfId="0" applyNumberFormat="1" applyFont="1" applyFill="1" applyBorder="1"/>
    <xf numFmtId="3" fontId="9" fillId="3" borderId="26" xfId="0" applyNumberFormat="1" applyFont="1" applyFill="1" applyBorder="1"/>
    <xf numFmtId="3" fontId="9" fillId="3" borderId="27" xfId="0" applyNumberFormat="1" applyFont="1" applyFill="1" applyBorder="1"/>
    <xf numFmtId="10" fontId="9" fillId="3" borderId="27" xfId="0" applyNumberFormat="1" applyFont="1" applyFill="1" applyBorder="1"/>
    <xf numFmtId="3" fontId="9" fillId="3" borderId="76" xfId="0" applyNumberFormat="1" applyFont="1" applyFill="1" applyBorder="1"/>
    <xf numFmtId="3" fontId="9" fillId="3" borderId="55" xfId="0" applyNumberFormat="1" applyFont="1" applyFill="1" applyBorder="1"/>
    <xf numFmtId="10" fontId="9" fillId="3" borderId="68" xfId="0" applyNumberFormat="1" applyFont="1" applyFill="1" applyBorder="1"/>
    <xf numFmtId="3" fontId="9" fillId="3" borderId="52" xfId="0" applyNumberFormat="1" applyFont="1" applyFill="1" applyBorder="1"/>
    <xf numFmtId="3" fontId="9" fillId="3" borderId="53" xfId="0" applyNumberFormat="1" applyFont="1" applyFill="1" applyBorder="1"/>
    <xf numFmtId="3" fontId="9" fillId="3" borderId="61" xfId="0" applyNumberFormat="1" applyFont="1" applyFill="1" applyBorder="1"/>
    <xf numFmtId="168" fontId="9" fillId="13" borderId="54" xfId="0" applyNumberFormat="1" applyFont="1" applyFill="1" applyBorder="1"/>
    <xf numFmtId="168" fontId="9" fillId="13" borderId="76" xfId="0" applyNumberFormat="1" applyFont="1" applyFill="1" applyBorder="1"/>
    <xf numFmtId="168" fontId="9" fillId="13" borderId="55" xfId="0" applyNumberFormat="1" applyFont="1" applyFill="1" applyBorder="1"/>
    <xf numFmtId="168" fontId="9" fillId="13" borderId="68" xfId="0" applyNumberFormat="1" applyFont="1" applyFill="1" applyBorder="1"/>
    <xf numFmtId="168" fontId="9" fillId="3" borderId="51" xfId="0" applyNumberFormat="1" applyFont="1" applyFill="1" applyBorder="1"/>
    <xf numFmtId="168" fontId="0" fillId="11" borderId="6" xfId="0" applyNumberFormat="1" applyFill="1" applyBorder="1"/>
    <xf numFmtId="0" fontId="2" fillId="11" borderId="68" xfId="0" applyFont="1" applyFill="1" applyBorder="1" applyAlignment="1">
      <alignment horizontal="center"/>
    </xf>
    <xf numFmtId="168" fontId="2" fillId="3" borderId="15" xfId="0" applyNumberFormat="1" applyFont="1" applyFill="1" applyBorder="1"/>
    <xf numFmtId="3" fontId="16" fillId="3" borderId="1" xfId="0" applyNumberFormat="1" applyFont="1" applyFill="1" applyBorder="1"/>
    <xf numFmtId="3" fontId="0" fillId="3" borderId="57" xfId="0" applyNumberFormat="1" applyFill="1" applyBorder="1"/>
    <xf numFmtId="0" fontId="39" fillId="3" borderId="2" xfId="0" applyFont="1" applyFill="1" applyBorder="1" applyAlignment="1">
      <alignment horizontal="right"/>
    </xf>
    <xf numFmtId="3" fontId="39" fillId="13" borderId="16" xfId="0" applyNumberFormat="1" applyFont="1" applyFill="1" applyBorder="1"/>
    <xf numFmtId="3" fontId="39" fillId="3" borderId="2" xfId="0" applyNumberFormat="1" applyFont="1" applyFill="1" applyBorder="1"/>
    <xf numFmtId="3" fontId="39" fillId="13" borderId="59" xfId="0" applyNumberFormat="1" applyFont="1" applyFill="1" applyBorder="1"/>
    <xf numFmtId="3" fontId="39" fillId="3" borderId="0" xfId="0" applyNumberFormat="1" applyFont="1" applyFill="1"/>
    <xf numFmtId="3" fontId="39" fillId="13" borderId="19" xfId="0" applyNumberFormat="1" applyFont="1" applyFill="1" applyBorder="1"/>
    <xf numFmtId="0" fontId="2" fillId="11" borderId="14" xfId="0" applyFont="1" applyFill="1" applyBorder="1" applyAlignment="1">
      <alignment horizontal="center"/>
    </xf>
    <xf numFmtId="0" fontId="2" fillId="11" borderId="28" xfId="0" applyFont="1" applyFill="1" applyBorder="1" applyAlignment="1">
      <alignment horizontal="center"/>
    </xf>
    <xf numFmtId="0" fontId="2" fillId="3" borderId="33" xfId="0" applyFont="1" applyFill="1" applyBorder="1"/>
    <xf numFmtId="0" fontId="2" fillId="3" borderId="16" xfId="0" applyFont="1" applyFill="1" applyBorder="1"/>
    <xf numFmtId="0" fontId="2" fillId="3" borderId="26" xfId="0" applyFont="1" applyFill="1" applyBorder="1"/>
    <xf numFmtId="3" fontId="0" fillId="13" borderId="76" xfId="0" applyNumberFormat="1" applyFill="1" applyBorder="1"/>
    <xf numFmtId="3" fontId="0" fillId="13" borderId="55" xfId="0" applyNumberFormat="1" applyFill="1" applyBorder="1"/>
    <xf numFmtId="3" fontId="0" fillId="13" borderId="68" xfId="0" applyNumberFormat="1" applyFill="1" applyBorder="1"/>
    <xf numFmtId="0" fontId="12" fillId="9" borderId="1" xfId="0" applyFont="1" applyFill="1" applyBorder="1" applyAlignment="1">
      <alignment vertical="center"/>
    </xf>
    <xf numFmtId="0" fontId="12" fillId="9" borderId="12" xfId="0" applyFont="1" applyFill="1" applyBorder="1" applyAlignment="1">
      <alignment vertical="center"/>
    </xf>
    <xf numFmtId="3" fontId="40" fillId="0" borderId="0" xfId="0" applyNumberFormat="1" applyFont="1"/>
    <xf numFmtId="170" fontId="0" fillId="13" borderId="6" xfId="0" applyNumberFormat="1" applyFill="1" applyBorder="1"/>
    <xf numFmtId="1" fontId="35" fillId="13" borderId="1" xfId="0" applyNumberFormat="1" applyFont="1" applyFill="1" applyBorder="1" applyAlignment="1">
      <alignment horizontal="center"/>
    </xf>
    <xf numFmtId="0" fontId="2" fillId="3" borderId="51" xfId="0" applyFont="1" applyFill="1" applyBorder="1" applyAlignment="1">
      <alignment horizontal="center"/>
    </xf>
    <xf numFmtId="0" fontId="22" fillId="3" borderId="50" xfId="0" applyFont="1" applyFill="1" applyBorder="1" applyAlignment="1">
      <alignment horizontal="center"/>
    </xf>
    <xf numFmtId="1" fontId="36" fillId="13" borderId="63" xfId="0" applyNumberFormat="1" applyFont="1" applyFill="1" applyBorder="1" applyAlignment="1">
      <alignment horizontal="center"/>
    </xf>
    <xf numFmtId="1" fontId="36" fillId="13" borderId="5" xfId="0" applyNumberFormat="1" applyFont="1" applyFill="1" applyBorder="1" applyAlignment="1">
      <alignment horizontal="center"/>
    </xf>
    <xf numFmtId="0" fontId="21" fillId="3" borderId="31" xfId="0" applyFont="1" applyFill="1" applyBorder="1" applyAlignment="1">
      <alignment horizontal="center"/>
    </xf>
    <xf numFmtId="3" fontId="0" fillId="13" borderId="33" xfId="0" applyNumberFormat="1" applyFill="1" applyBorder="1" applyAlignment="1">
      <alignment horizontal="right"/>
    </xf>
    <xf numFmtId="1" fontId="36" fillId="13" borderId="35" xfId="0" applyNumberFormat="1" applyFont="1" applyFill="1" applyBorder="1" applyAlignment="1">
      <alignment horizontal="center"/>
    </xf>
    <xf numFmtId="1" fontId="36" fillId="13" borderId="21" xfId="0" applyNumberFormat="1" applyFont="1" applyFill="1" applyBorder="1" applyAlignment="1">
      <alignment horizontal="center"/>
    </xf>
    <xf numFmtId="1" fontId="21" fillId="13" borderId="56" xfId="0" applyNumberFormat="1" applyFont="1" applyFill="1" applyBorder="1" applyAlignment="1">
      <alignment horizontal="center"/>
    </xf>
    <xf numFmtId="1" fontId="21" fillId="13" borderId="67" xfId="0" applyNumberFormat="1" applyFont="1" applyFill="1" applyBorder="1" applyAlignment="1">
      <alignment horizontal="center"/>
    </xf>
    <xf numFmtId="1" fontId="20" fillId="13" borderId="54" xfId="0" applyNumberFormat="1" applyFont="1" applyFill="1" applyBorder="1" applyAlignment="1">
      <alignment horizontal="center"/>
    </xf>
    <xf numFmtId="167" fontId="22" fillId="13" borderId="54" xfId="0" applyNumberFormat="1" applyFont="1" applyFill="1" applyBorder="1" applyAlignment="1">
      <alignment horizontal="center"/>
    </xf>
    <xf numFmtId="0" fontId="2" fillId="3" borderId="50" xfId="0" applyFont="1" applyFill="1" applyBorder="1" applyAlignment="1">
      <alignment horizontal="center"/>
    </xf>
    <xf numFmtId="167" fontId="23" fillId="3" borderId="18" xfId="0" applyNumberFormat="1" applyFont="1" applyFill="1" applyBorder="1"/>
    <xf numFmtId="168" fontId="2" fillId="13" borderId="33" xfId="0" applyNumberFormat="1" applyFont="1" applyFill="1" applyBorder="1" applyAlignment="1">
      <alignment horizontal="right"/>
    </xf>
    <xf numFmtId="9" fontId="23" fillId="13" borderId="35" xfId="0" applyNumberFormat="1" applyFont="1" applyFill="1" applyBorder="1"/>
    <xf numFmtId="168" fontId="2" fillId="13" borderId="26" xfId="0" applyNumberFormat="1" applyFont="1" applyFill="1" applyBorder="1" applyAlignment="1">
      <alignment horizontal="right"/>
    </xf>
    <xf numFmtId="9" fontId="23" fillId="13" borderId="28" xfId="0" applyNumberFormat="1" applyFont="1" applyFill="1" applyBorder="1"/>
    <xf numFmtId="0" fontId="0" fillId="3" borderId="58" xfId="0" applyFill="1" applyBorder="1"/>
    <xf numFmtId="9" fontId="23" fillId="13" borderId="50" xfId="0" applyNumberFormat="1" applyFont="1" applyFill="1" applyBorder="1"/>
    <xf numFmtId="0" fontId="23" fillId="3" borderId="39" xfId="0" applyFont="1" applyFill="1" applyBorder="1"/>
    <xf numFmtId="3" fontId="23" fillId="13" borderId="6" xfId="0" applyNumberFormat="1" applyFont="1" applyFill="1" applyBorder="1"/>
    <xf numFmtId="10" fontId="23" fillId="0" borderId="0" xfId="0" applyNumberFormat="1" applyFont="1"/>
    <xf numFmtId="0" fontId="0" fillId="3" borderId="28" xfId="0" applyFill="1" applyBorder="1" applyAlignment="1">
      <alignment horizontal="center"/>
    </xf>
    <xf numFmtId="0" fontId="9" fillId="7" borderId="0" xfId="0" applyFont="1" applyFill="1"/>
    <xf numFmtId="0" fontId="9" fillId="0" borderId="8" xfId="0" applyFont="1" applyBorder="1"/>
    <xf numFmtId="0" fontId="9" fillId="0" borderId="12" xfId="0" applyFont="1" applyBorder="1"/>
    <xf numFmtId="16" fontId="9" fillId="6" borderId="12" xfId="0" applyNumberFormat="1" applyFont="1" applyFill="1" applyBorder="1"/>
    <xf numFmtId="16" fontId="9" fillId="6" borderId="7" xfId="0" applyNumberFormat="1" applyFont="1" applyFill="1" applyBorder="1"/>
    <xf numFmtId="0" fontId="9" fillId="3" borderId="8" xfId="0" applyFont="1" applyFill="1" applyBorder="1"/>
    <xf numFmtId="0" fontId="9" fillId="3" borderId="0" xfId="0" applyFont="1" applyFill="1"/>
    <xf numFmtId="0" fontId="9" fillId="3" borderId="9" xfId="0" applyFont="1" applyFill="1" applyBorder="1"/>
    <xf numFmtId="0" fontId="9" fillId="3" borderId="10" xfId="0" applyFont="1" applyFill="1" applyBorder="1"/>
    <xf numFmtId="0" fontId="9" fillId="3" borderId="4" xfId="0" applyFont="1" applyFill="1" applyBorder="1"/>
    <xf numFmtId="0" fontId="9" fillId="13" borderId="14" xfId="0" applyFont="1" applyFill="1" applyBorder="1"/>
    <xf numFmtId="0" fontId="9" fillId="6" borderId="4" xfId="0" applyFont="1" applyFill="1" applyBorder="1"/>
    <xf numFmtId="3" fontId="9" fillId="3" borderId="8" xfId="0" applyNumberFormat="1" applyFont="1" applyFill="1" applyBorder="1"/>
    <xf numFmtId="3" fontId="9" fillId="3" borderId="4" xfId="0" applyNumberFormat="1" applyFont="1" applyFill="1" applyBorder="1"/>
    <xf numFmtId="3" fontId="9" fillId="3" borderId="12" xfId="0" applyNumberFormat="1" applyFont="1" applyFill="1" applyBorder="1"/>
    <xf numFmtId="165" fontId="2" fillId="3" borderId="0" xfId="0" applyNumberFormat="1" applyFont="1" applyFill="1"/>
    <xf numFmtId="2" fontId="2" fillId="3" borderId="0" xfId="0" applyNumberFormat="1" applyFont="1" applyFill="1" applyProtection="1">
      <protection locked="0"/>
    </xf>
    <xf numFmtId="3" fontId="9" fillId="3" borderId="0" xfId="0" applyNumberFormat="1" applyFont="1" applyFill="1"/>
    <xf numFmtId="3" fontId="9" fillId="3" borderId="9" xfId="0" applyNumberFormat="1" applyFont="1" applyFill="1" applyBorder="1"/>
    <xf numFmtId="3" fontId="9" fillId="3" borderId="11" xfId="0" applyNumberFormat="1" applyFont="1" applyFill="1" applyBorder="1"/>
    <xf numFmtId="165" fontId="2" fillId="4" borderId="6" xfId="0" applyNumberFormat="1" applyFont="1" applyFill="1" applyBorder="1" applyProtection="1">
      <protection locked="0"/>
    </xf>
    <xf numFmtId="165" fontId="2" fillId="3" borderId="0" xfId="0" applyNumberFormat="1" applyFont="1" applyFill="1" applyProtection="1">
      <protection locked="0"/>
    </xf>
    <xf numFmtId="1" fontId="2" fillId="4" borderId="6" xfId="0" applyNumberFormat="1" applyFont="1" applyFill="1" applyBorder="1" applyProtection="1">
      <protection locked="0"/>
    </xf>
    <xf numFmtId="3" fontId="9" fillId="13" borderId="10" xfId="0" applyNumberFormat="1" applyFont="1" applyFill="1" applyBorder="1"/>
    <xf numFmtId="3" fontId="2" fillId="4" borderId="6" xfId="0" applyNumberFormat="1" applyFont="1" applyFill="1" applyBorder="1" applyProtection="1">
      <protection locked="0"/>
    </xf>
    <xf numFmtId="3" fontId="2" fillId="3" borderId="0" xfId="0" applyNumberFormat="1" applyFont="1" applyFill="1" applyProtection="1">
      <protection locked="0"/>
    </xf>
    <xf numFmtId="3" fontId="2" fillId="3" borderId="10" xfId="0" applyNumberFormat="1" applyFont="1" applyFill="1" applyBorder="1" applyProtection="1">
      <protection locked="0"/>
    </xf>
    <xf numFmtId="166" fontId="2" fillId="3" borderId="0" xfId="0" applyNumberFormat="1" applyFont="1" applyFill="1" applyProtection="1">
      <protection locked="0"/>
    </xf>
    <xf numFmtId="166" fontId="2" fillId="3" borderId="10" xfId="0" applyNumberFormat="1" applyFont="1" applyFill="1" applyBorder="1" applyProtection="1">
      <protection locked="0"/>
    </xf>
    <xf numFmtId="3" fontId="9" fillId="6" borderId="12" xfId="0" applyNumberFormat="1" applyFont="1" applyFill="1" applyBorder="1"/>
    <xf numFmtId="3" fontId="9" fillId="6" borderId="8" xfId="0" applyNumberFormat="1" applyFont="1" applyFill="1" applyBorder="1"/>
    <xf numFmtId="3" fontId="9" fillId="6" borderId="4" xfId="0" applyNumberFormat="1" applyFont="1" applyFill="1" applyBorder="1"/>
    <xf numFmtId="166" fontId="2" fillId="3" borderId="3" xfId="0" applyNumberFormat="1" applyFont="1" applyFill="1" applyBorder="1"/>
    <xf numFmtId="166" fontId="9" fillId="3" borderId="4" xfId="0" applyNumberFormat="1" applyFont="1" applyFill="1" applyBorder="1" applyAlignment="1">
      <alignment horizontal="right"/>
    </xf>
    <xf numFmtId="166" fontId="2" fillId="3" borderId="4" xfId="0" applyNumberFormat="1" applyFont="1" applyFill="1" applyBorder="1"/>
    <xf numFmtId="1" fontId="9" fillId="3" borderId="10" xfId="0" applyNumberFormat="1" applyFont="1" applyFill="1" applyBorder="1"/>
    <xf numFmtId="0" fontId="9" fillId="3" borderId="11" xfId="0" applyFont="1" applyFill="1" applyBorder="1" applyAlignment="1">
      <alignment horizontal="right"/>
    </xf>
    <xf numFmtId="165" fontId="2" fillId="3" borderId="2" xfId="0" applyNumberFormat="1" applyFont="1" applyFill="1" applyBorder="1"/>
    <xf numFmtId="1" fontId="9" fillId="3" borderId="2" xfId="0" applyNumberFormat="1" applyFont="1" applyFill="1" applyBorder="1"/>
    <xf numFmtId="1" fontId="9" fillId="13" borderId="5" xfId="0" applyNumberFormat="1" applyFont="1" applyFill="1" applyBorder="1"/>
    <xf numFmtId="1" fontId="9" fillId="3" borderId="5" xfId="0" applyNumberFormat="1" applyFont="1" applyFill="1" applyBorder="1"/>
    <xf numFmtId="1" fontId="9" fillId="3" borderId="11" xfId="0" applyNumberFormat="1" applyFont="1" applyFill="1" applyBorder="1"/>
    <xf numFmtId="1" fontId="9" fillId="13" borderId="14" xfId="0" applyNumberFormat="1" applyFont="1" applyFill="1" applyBorder="1"/>
    <xf numFmtId="0" fontId="9" fillId="0" borderId="0" xfId="6"/>
    <xf numFmtId="0" fontId="15" fillId="0" borderId="0" xfId="3" applyAlignment="1" applyProtection="1"/>
    <xf numFmtId="49" fontId="2" fillId="0" borderId="0" xfId="6" applyNumberFormat="1" applyFont="1" applyAlignment="1">
      <alignment horizontal="right"/>
    </xf>
    <xf numFmtId="0" fontId="2" fillId="0" borderId="0" xfId="6" applyFont="1" applyAlignment="1">
      <alignment horizontal="right"/>
    </xf>
    <xf numFmtId="0" fontId="2" fillId="0" borderId="0" xfId="6" applyFont="1"/>
    <xf numFmtId="0" fontId="2" fillId="0" borderId="17" xfId="6" applyFont="1" applyBorder="1"/>
    <xf numFmtId="0" fontId="9" fillId="15" borderId="17" xfId="6" applyFill="1" applyBorder="1"/>
    <xf numFmtId="0" fontId="20" fillId="0" borderId="0" xfId="6" applyFont="1" applyAlignment="1">
      <alignment horizontal="left"/>
    </xf>
    <xf numFmtId="10" fontId="7" fillId="0" borderId="0" xfId="6" applyNumberFormat="1" applyFont="1"/>
    <xf numFmtId="2" fontId="55" fillId="15" borderId="6" xfId="6" applyNumberFormat="1" applyFont="1" applyFill="1" applyBorder="1"/>
    <xf numFmtId="0" fontId="7" fillId="16" borderId="5" xfId="6" applyFont="1" applyFill="1" applyBorder="1"/>
    <xf numFmtId="0" fontId="14" fillId="0" borderId="0" xfId="6" applyFont="1"/>
    <xf numFmtId="2" fontId="56" fillId="4" borderId="11" xfId="6" applyNumberFormat="1" applyFont="1" applyFill="1" applyBorder="1" applyProtection="1">
      <protection locked="0"/>
    </xf>
    <xf numFmtId="0" fontId="2" fillId="16" borderId="14" xfId="6" applyFont="1" applyFill="1" applyBorder="1"/>
    <xf numFmtId="0" fontId="42" fillId="3" borderId="17" xfId="6" applyFont="1" applyFill="1" applyBorder="1"/>
    <xf numFmtId="0" fontId="9" fillId="0" borderId="0" xfId="6" applyProtection="1">
      <protection hidden="1"/>
    </xf>
    <xf numFmtId="10" fontId="43" fillId="0" borderId="0" xfId="6" applyNumberFormat="1" applyFont="1"/>
    <xf numFmtId="1" fontId="56" fillId="4" borderId="64" xfId="6" applyNumberFormat="1" applyFont="1" applyFill="1" applyBorder="1" applyProtection="1">
      <protection locked="0"/>
    </xf>
    <xf numFmtId="0" fontId="2" fillId="16" borderId="25" xfId="6" applyFont="1" applyFill="1" applyBorder="1"/>
    <xf numFmtId="0" fontId="9" fillId="12" borderId="17" xfId="6" applyFill="1" applyBorder="1"/>
    <xf numFmtId="0" fontId="20" fillId="0" borderId="0" xfId="6" applyFont="1"/>
    <xf numFmtId="0" fontId="2" fillId="0" borderId="0" xfId="6" applyFont="1" applyAlignment="1">
      <alignment horizontal="center"/>
    </xf>
    <xf numFmtId="0" fontId="2" fillId="9" borderId="7" xfId="6" applyFont="1" applyFill="1" applyBorder="1" applyAlignment="1">
      <alignment horizontal="center"/>
    </xf>
    <xf numFmtId="0" fontId="18" fillId="9" borderId="3" xfId="6" applyFont="1" applyFill="1" applyBorder="1"/>
    <xf numFmtId="0" fontId="9" fillId="0" borderId="0" xfId="6" quotePrefix="1"/>
    <xf numFmtId="0" fontId="44" fillId="0" borderId="0" xfId="6" applyFont="1"/>
    <xf numFmtId="0" fontId="4" fillId="2" borderId="7" xfId="6" applyFont="1" applyFill="1" applyBorder="1"/>
    <xf numFmtId="0" fontId="4" fillId="2" borderId="12" xfId="6" applyFont="1" applyFill="1" applyBorder="1"/>
    <xf numFmtId="0" fontId="3" fillId="2" borderId="1" xfId="6" applyFont="1" applyFill="1" applyBorder="1"/>
    <xf numFmtId="0" fontId="9" fillId="3" borderId="45" xfId="0" applyFont="1" applyFill="1" applyBorder="1"/>
    <xf numFmtId="0" fontId="9" fillId="3" borderId="62" xfId="0" applyFont="1" applyFill="1" applyBorder="1" applyAlignment="1">
      <alignment horizontal="right"/>
    </xf>
    <xf numFmtId="0" fontId="9" fillId="11" borderId="0" xfId="0" applyFont="1" applyFill="1"/>
    <xf numFmtId="0" fontId="9" fillId="11" borderId="10" xfId="0" applyFont="1" applyFill="1" applyBorder="1" applyAlignment="1">
      <alignment horizontal="right"/>
    </xf>
    <xf numFmtId="0" fontId="9" fillId="3" borderId="47" xfId="0" applyFont="1" applyFill="1" applyBorder="1"/>
    <xf numFmtId="0" fontId="9" fillId="9" borderId="12" xfId="0" applyFont="1" applyFill="1" applyBorder="1" applyAlignment="1">
      <alignment horizontal="left"/>
    </xf>
    <xf numFmtId="166" fontId="2" fillId="11" borderId="10" xfId="0" applyNumberFormat="1" applyFont="1" applyFill="1" applyBorder="1" applyAlignment="1">
      <alignment horizontal="right"/>
    </xf>
    <xf numFmtId="0" fontId="9" fillId="11" borderId="10" xfId="0" applyFont="1" applyFill="1" applyBorder="1"/>
    <xf numFmtId="0" fontId="9" fillId="6" borderId="7" xfId="0" applyFont="1" applyFill="1" applyBorder="1" applyAlignment="1">
      <alignment horizontal="right"/>
    </xf>
    <xf numFmtId="16" fontId="9" fillId="3" borderId="8" xfId="0" applyNumberFormat="1" applyFont="1" applyFill="1" applyBorder="1"/>
    <xf numFmtId="1" fontId="9" fillId="13" borderId="52" xfId="0" applyNumberFormat="1" applyFont="1" applyFill="1" applyBorder="1" applyAlignment="1">
      <alignment horizontal="right"/>
    </xf>
    <xf numFmtId="0" fontId="9" fillId="13" borderId="6" xfId="0" applyFont="1" applyFill="1" applyBorder="1" applyAlignment="1">
      <alignment horizontal="right"/>
    </xf>
    <xf numFmtId="165" fontId="2" fillId="4" borderId="25" xfId="0" applyNumberFormat="1" applyFont="1" applyFill="1" applyBorder="1" applyProtection="1">
      <protection locked="0"/>
    </xf>
    <xf numFmtId="0" fontId="9" fillId="3" borderId="0" xfId="0" quotePrefix="1" applyFont="1" applyFill="1"/>
    <xf numFmtId="0" fontId="9" fillId="3" borderId="62" xfId="0" applyFont="1" applyFill="1" applyBorder="1"/>
    <xf numFmtId="0" fontId="9" fillId="10" borderId="0" xfId="0" applyFont="1" applyFill="1"/>
    <xf numFmtId="0" fontId="9" fillId="6" borderId="4" xfId="0" applyFont="1" applyFill="1" applyBorder="1" applyAlignment="1">
      <alignment horizontal="right"/>
    </xf>
    <xf numFmtId="2" fontId="0" fillId="13" borderId="78" xfId="0" applyNumberFormat="1" applyFill="1" applyBorder="1"/>
    <xf numFmtId="3" fontId="2" fillId="13" borderId="12" xfId="0" applyNumberFormat="1" applyFont="1" applyFill="1" applyBorder="1"/>
    <xf numFmtId="3" fontId="2" fillId="13" borderId="57" xfId="0" applyNumberFormat="1" applyFont="1" applyFill="1" applyBorder="1"/>
    <xf numFmtId="3" fontId="0" fillId="3" borderId="6" xfId="0" applyNumberFormat="1" applyFill="1" applyBorder="1" applyAlignment="1">
      <alignment horizontal="center"/>
    </xf>
    <xf numFmtId="3" fontId="0" fillId="3" borderId="66" xfId="0" applyNumberFormat="1" applyFill="1" applyBorder="1" applyAlignment="1">
      <alignment horizontal="center"/>
    </xf>
    <xf numFmtId="3" fontId="0" fillId="3" borderId="36" xfId="0" applyNumberFormat="1" applyFill="1" applyBorder="1" applyAlignment="1">
      <alignment horizontal="center"/>
    </xf>
    <xf numFmtId="3" fontId="0" fillId="3" borderId="9" xfId="0" applyNumberFormat="1" applyFill="1" applyBorder="1" applyAlignment="1">
      <alignment horizontal="center"/>
    </xf>
    <xf numFmtId="3" fontId="0" fillId="3" borderId="11" xfId="0" applyNumberFormat="1" applyFill="1" applyBorder="1" applyAlignment="1">
      <alignment horizontal="center"/>
    </xf>
    <xf numFmtId="3" fontId="9" fillId="13" borderId="58" xfId="0" applyNumberFormat="1" applyFont="1" applyFill="1" applyBorder="1"/>
    <xf numFmtId="3" fontId="9" fillId="13" borderId="24" xfId="0" applyNumberFormat="1" applyFont="1" applyFill="1" applyBorder="1"/>
    <xf numFmtId="3" fontId="2" fillId="3" borderId="32" xfId="0" applyNumberFormat="1" applyFont="1" applyFill="1" applyBorder="1" applyAlignment="1">
      <alignment vertical="center"/>
    </xf>
    <xf numFmtId="3" fontId="2" fillId="3" borderId="30" xfId="0" applyNumberFormat="1" applyFont="1" applyFill="1" applyBorder="1" applyAlignment="1">
      <alignment vertical="center"/>
    </xf>
    <xf numFmtId="3" fontId="2" fillId="3" borderId="31" xfId="0" applyNumberFormat="1" applyFont="1" applyFill="1" applyBorder="1" applyAlignment="1">
      <alignment vertical="center"/>
    </xf>
    <xf numFmtId="0" fontId="2" fillId="3" borderId="32" xfId="0" applyFont="1" applyFill="1" applyBorder="1" applyAlignment="1">
      <alignment vertical="center"/>
    </xf>
    <xf numFmtId="3" fontId="0" fillId="3" borderId="7" xfId="0" applyNumberFormat="1" applyFill="1" applyBorder="1" applyAlignment="1">
      <alignment horizontal="center"/>
    </xf>
    <xf numFmtId="3" fontId="0" fillId="3" borderId="14" xfId="0" applyNumberFormat="1" applyFill="1" applyBorder="1" applyAlignment="1">
      <alignment horizontal="center"/>
    </xf>
    <xf numFmtId="3" fontId="0" fillId="3" borderId="5" xfId="0" applyNumberFormat="1" applyFill="1" applyBorder="1" applyAlignment="1">
      <alignment horizontal="center"/>
    </xf>
    <xf numFmtId="3" fontId="0" fillId="3" borderId="50" xfId="0" applyNumberFormat="1" applyFill="1" applyBorder="1" applyAlignment="1">
      <alignment horizontal="center"/>
    </xf>
    <xf numFmtId="170" fontId="0" fillId="13" borderId="50" xfId="0" applyNumberFormat="1" applyFill="1" applyBorder="1"/>
    <xf numFmtId="9" fontId="0" fillId="13" borderId="24" xfId="0" applyNumberFormat="1" applyFill="1" applyBorder="1"/>
    <xf numFmtId="9" fontId="0" fillId="13" borderId="18" xfId="0" applyNumberFormat="1" applyFill="1" applyBorder="1"/>
    <xf numFmtId="9" fontId="0" fillId="13" borderId="28" xfId="0" applyNumberFormat="1" applyFill="1" applyBorder="1"/>
    <xf numFmtId="9" fontId="0" fillId="13" borderId="41" xfId="0" applyNumberFormat="1" applyFill="1" applyBorder="1"/>
    <xf numFmtId="0" fontId="9" fillId="3" borderId="14" xfId="0" applyFont="1" applyFill="1" applyBorder="1" applyAlignment="1">
      <alignment horizontal="center"/>
    </xf>
    <xf numFmtId="0" fontId="0" fillId="9" borderId="12" xfId="0" applyFill="1" applyBorder="1" applyAlignment="1">
      <alignment vertical="center"/>
    </xf>
    <xf numFmtId="0" fontId="2" fillId="6" borderId="6" xfId="4" applyFont="1" applyFill="1" applyBorder="1" applyAlignment="1">
      <alignment vertical="center"/>
    </xf>
    <xf numFmtId="2" fontId="2" fillId="3" borderId="51" xfId="4" applyNumberFormat="1" applyFont="1" applyFill="1" applyBorder="1" applyAlignment="1">
      <alignment horizontal="right" vertical="center"/>
    </xf>
    <xf numFmtId="2" fontId="2" fillId="3" borderId="15" xfId="4" applyNumberFormat="1" applyFont="1" applyFill="1" applyBorder="1" applyAlignment="1">
      <alignment horizontal="right" vertical="center"/>
    </xf>
    <xf numFmtId="2" fontId="2" fillId="3" borderId="54" xfId="4" applyNumberFormat="1" applyFont="1" applyFill="1" applyBorder="1" applyAlignment="1">
      <alignment horizontal="right" vertical="center"/>
    </xf>
    <xf numFmtId="2" fontId="2" fillId="3" borderId="6" xfId="4" applyNumberFormat="1" applyFont="1" applyFill="1" applyBorder="1" applyAlignment="1">
      <alignment horizontal="right" vertical="center"/>
    </xf>
    <xf numFmtId="2" fontId="2" fillId="3" borderId="7" xfId="4" applyNumberFormat="1" applyFont="1" applyFill="1" applyBorder="1" applyAlignment="1">
      <alignment horizontal="right" vertical="center"/>
    </xf>
    <xf numFmtId="0" fontId="9" fillId="3" borderId="25" xfId="4" applyFont="1" applyFill="1" applyBorder="1" applyAlignment="1">
      <alignment vertical="center" wrapText="1"/>
    </xf>
    <xf numFmtId="2" fontId="28" fillId="17" borderId="58" xfId="7" applyNumberFormat="1" applyFill="1" applyBorder="1" applyAlignment="1">
      <alignment horizontal="right" vertical="center" wrapText="1"/>
    </xf>
    <xf numFmtId="2" fontId="28" fillId="17" borderId="23" xfId="7" applyNumberFormat="1" applyFill="1" applyBorder="1" applyAlignment="1">
      <alignment horizontal="right" vertical="center" wrapText="1"/>
    </xf>
    <xf numFmtId="2" fontId="27" fillId="13" borderId="23" xfId="4" applyNumberFormat="1" applyFont="1" applyFill="1" applyBorder="1" applyAlignment="1">
      <alignment horizontal="right" vertical="center" wrapText="1"/>
    </xf>
    <xf numFmtId="2" fontId="27" fillId="13" borderId="56" xfId="4" applyNumberFormat="1" applyFont="1" applyFill="1" applyBorder="1" applyAlignment="1">
      <alignment horizontal="right" vertical="center" wrapText="1"/>
    </xf>
    <xf numFmtId="2" fontId="2" fillId="13" borderId="69" xfId="4" applyNumberFormat="1" applyFont="1" applyFill="1" applyBorder="1" applyAlignment="1">
      <alignment horizontal="right" vertical="center" wrapText="1"/>
    </xf>
    <xf numFmtId="0" fontId="9" fillId="3" borderId="13" xfId="4" applyFont="1" applyFill="1" applyBorder="1" applyAlignment="1">
      <alignment vertical="center" wrapText="1"/>
    </xf>
    <xf numFmtId="2" fontId="28" fillId="17" borderId="59" xfId="7" applyNumberFormat="1" applyFill="1" applyBorder="1" applyAlignment="1">
      <alignment horizontal="right" vertical="center" wrapText="1"/>
    </xf>
    <xf numFmtId="2" fontId="28" fillId="17" borderId="17" xfId="7" applyNumberFormat="1" applyFill="1" applyBorder="1" applyAlignment="1">
      <alignment horizontal="right" vertical="center" wrapText="1"/>
    </xf>
    <xf numFmtId="2" fontId="28" fillId="17" borderId="55" xfId="7" applyNumberFormat="1" applyFill="1" applyBorder="1" applyAlignment="1">
      <alignment horizontal="right" vertical="center" wrapText="1"/>
    </xf>
    <xf numFmtId="2" fontId="2" fillId="13" borderId="53" xfId="4" applyNumberFormat="1" applyFont="1" applyFill="1" applyBorder="1" applyAlignment="1">
      <alignment horizontal="right" vertical="center"/>
    </xf>
    <xf numFmtId="2" fontId="9" fillId="13" borderId="59" xfId="4" applyNumberFormat="1" applyFont="1" applyFill="1" applyBorder="1" applyAlignment="1">
      <alignment horizontal="right" vertical="center"/>
    </xf>
    <xf numFmtId="2" fontId="9" fillId="13" borderId="17" xfId="4" applyNumberFormat="1" applyFont="1" applyFill="1" applyBorder="1" applyAlignment="1">
      <alignment horizontal="right" vertical="center"/>
    </xf>
    <xf numFmtId="2" fontId="9" fillId="13" borderId="55" xfId="4" applyNumberFormat="1" applyFont="1" applyFill="1" applyBorder="1" applyAlignment="1">
      <alignment horizontal="right" vertical="center"/>
    </xf>
    <xf numFmtId="2" fontId="9" fillId="13" borderId="43" xfId="4" applyNumberFormat="1" applyFont="1" applyFill="1" applyBorder="1" applyAlignment="1">
      <alignment horizontal="right" vertical="center" wrapText="1"/>
    </xf>
    <xf numFmtId="2" fontId="9" fillId="13" borderId="20" xfId="4" applyNumberFormat="1" applyFont="1" applyFill="1" applyBorder="1" applyAlignment="1">
      <alignment horizontal="right" vertical="center" wrapText="1"/>
    </xf>
    <xf numFmtId="2" fontId="9" fillId="13" borderId="20" xfId="4" applyNumberFormat="1" applyFont="1" applyFill="1" applyBorder="1" applyAlignment="1">
      <alignment horizontal="right" vertical="center"/>
    </xf>
    <xf numFmtId="2" fontId="9" fillId="13" borderId="67" xfId="4" applyNumberFormat="1" applyFont="1" applyFill="1" applyBorder="1" applyAlignment="1">
      <alignment horizontal="right" vertical="center"/>
    </xf>
    <xf numFmtId="2" fontId="2" fillId="13" borderId="70" xfId="4" applyNumberFormat="1" applyFont="1" applyFill="1" applyBorder="1" applyAlignment="1">
      <alignment horizontal="right" vertical="center"/>
    </xf>
    <xf numFmtId="0" fontId="2" fillId="6" borderId="6" xfId="4" applyFont="1" applyFill="1" applyBorder="1" applyAlignment="1">
      <alignment vertical="center" wrapText="1"/>
    </xf>
    <xf numFmtId="2" fontId="33" fillId="3" borderId="51" xfId="4" applyNumberFormat="1" applyFont="1" applyFill="1" applyBorder="1" applyAlignment="1">
      <alignment horizontal="right" vertical="center"/>
    </xf>
    <xf numFmtId="2" fontId="33" fillId="3" borderId="15" xfId="4" applyNumberFormat="1" applyFont="1" applyFill="1" applyBorder="1" applyAlignment="1">
      <alignment horizontal="right" vertical="center"/>
    </xf>
    <xf numFmtId="2" fontId="33" fillId="3" borderId="50" xfId="4" applyNumberFormat="1" applyFont="1" applyFill="1" applyBorder="1" applyAlignment="1">
      <alignment horizontal="right" vertical="center"/>
    </xf>
    <xf numFmtId="2" fontId="9" fillId="13" borderId="33" xfId="4" applyNumberFormat="1" applyFont="1" applyFill="1" applyBorder="1" applyAlignment="1">
      <alignment horizontal="right" vertical="center" wrapText="1"/>
    </xf>
    <xf numFmtId="2" fontId="9" fillId="13" borderId="34" xfId="4" applyNumberFormat="1" applyFont="1" applyFill="1" applyBorder="1" applyAlignment="1">
      <alignment horizontal="right" vertical="center" wrapText="1"/>
    </xf>
    <xf numFmtId="2" fontId="9" fillId="13" borderId="76" xfId="4" applyNumberFormat="1" applyFont="1" applyFill="1" applyBorder="1" applyAlignment="1">
      <alignment horizontal="right" vertical="center" wrapText="1"/>
    </xf>
    <xf numFmtId="2" fontId="2" fillId="13" borderId="52" xfId="4" applyNumberFormat="1" applyFont="1" applyFill="1" applyBorder="1" applyAlignment="1">
      <alignment horizontal="right" vertical="center" wrapText="1"/>
    </xf>
    <xf numFmtId="2" fontId="2" fillId="13" borderId="64" xfId="4" applyNumberFormat="1" applyFont="1" applyFill="1" applyBorder="1" applyAlignment="1">
      <alignment horizontal="right" vertical="center"/>
    </xf>
    <xf numFmtId="2" fontId="27" fillId="13" borderId="16" xfId="9" quotePrefix="1" applyNumberFormat="1" applyFill="1" applyBorder="1" applyAlignment="1">
      <alignment vertical="center"/>
    </xf>
    <xf numFmtId="2" fontId="2" fillId="13" borderId="71" xfId="4" applyNumberFormat="1" applyFont="1" applyFill="1" applyBorder="1" applyAlignment="1">
      <alignment horizontal="right" vertical="center"/>
    </xf>
    <xf numFmtId="2" fontId="9" fillId="13" borderId="16" xfId="4" applyNumberFormat="1" applyFont="1" applyFill="1" applyBorder="1" applyAlignment="1">
      <alignment horizontal="right" vertical="center"/>
    </xf>
    <xf numFmtId="0" fontId="9" fillId="3" borderId="14" xfId="4" applyFont="1" applyFill="1" applyBorder="1" applyAlignment="1">
      <alignment vertical="center" wrapText="1"/>
    </xf>
    <xf numFmtId="2" fontId="9" fillId="13" borderId="26" xfId="4" applyNumberFormat="1" applyFont="1" applyFill="1" applyBorder="1" applyAlignment="1">
      <alignment horizontal="right" vertical="center"/>
    </xf>
    <xf numFmtId="2" fontId="9" fillId="13" borderId="27" xfId="4" applyNumberFormat="1" applyFont="1" applyFill="1" applyBorder="1" applyAlignment="1">
      <alignment horizontal="right" vertical="center"/>
    </xf>
    <xf numFmtId="2" fontId="9" fillId="13" borderId="68" xfId="4" applyNumberFormat="1" applyFont="1" applyFill="1" applyBorder="1" applyAlignment="1">
      <alignment horizontal="right" vertical="center"/>
    </xf>
    <xf numFmtId="2" fontId="2" fillId="13" borderId="61" xfId="4" applyNumberFormat="1" applyFont="1" applyFill="1" applyBorder="1" applyAlignment="1">
      <alignment horizontal="right" vertical="center"/>
    </xf>
    <xf numFmtId="2" fontId="2" fillId="13" borderId="72" xfId="4" applyNumberFormat="1" applyFont="1" applyFill="1" applyBorder="1" applyAlignment="1">
      <alignment horizontal="right" vertical="center"/>
    </xf>
    <xf numFmtId="2" fontId="33" fillId="3" borderId="49" xfId="4" applyNumberFormat="1" applyFont="1" applyFill="1" applyBorder="1" applyAlignment="1">
      <alignment horizontal="right" vertical="center"/>
    </xf>
    <xf numFmtId="2" fontId="33" fillId="3" borderId="30" xfId="4" applyNumberFormat="1" applyFont="1" applyFill="1" applyBorder="1" applyAlignment="1">
      <alignment horizontal="right" vertical="center"/>
    </xf>
    <xf numFmtId="2" fontId="33" fillId="3" borderId="31" xfId="4" applyNumberFormat="1" applyFont="1" applyFill="1" applyBorder="1" applyAlignment="1">
      <alignment horizontal="right" vertical="center"/>
    </xf>
    <xf numFmtId="2" fontId="9" fillId="13" borderId="33" xfId="4" applyNumberFormat="1" applyFont="1" applyFill="1" applyBorder="1" applyAlignment="1">
      <alignment horizontal="right" vertical="center"/>
    </xf>
    <xf numFmtId="2" fontId="9" fillId="13" borderId="34" xfId="4" applyNumberFormat="1" applyFont="1" applyFill="1" applyBorder="1" applyAlignment="1">
      <alignment horizontal="right" vertical="center"/>
    </xf>
    <xf numFmtId="2" fontId="9" fillId="13" borderId="76" xfId="4" applyNumberFormat="1" applyFont="1" applyFill="1" applyBorder="1" applyAlignment="1">
      <alignment horizontal="right" vertical="center"/>
    </xf>
    <xf numFmtId="2" fontId="2" fillId="13" borderId="52" xfId="4" applyNumberFormat="1" applyFont="1" applyFill="1" applyBorder="1" applyAlignment="1">
      <alignment horizontal="right" vertical="center"/>
    </xf>
    <xf numFmtId="2" fontId="33" fillId="3" borderId="39" xfId="4" applyNumberFormat="1" applyFont="1" applyFill="1" applyBorder="1" applyAlignment="1">
      <alignment horizontal="right" vertical="center"/>
    </xf>
    <xf numFmtId="2" fontId="33" fillId="3" borderId="40" xfId="4" applyNumberFormat="1" applyFont="1" applyFill="1" applyBorder="1" applyAlignment="1">
      <alignment horizontal="right" vertical="center"/>
    </xf>
    <xf numFmtId="2" fontId="33" fillId="3" borderId="79" xfId="4" applyNumberFormat="1" applyFont="1" applyFill="1" applyBorder="1" applyAlignment="1">
      <alignment horizontal="right" vertical="center"/>
    </xf>
    <xf numFmtId="2" fontId="33" fillId="3" borderId="6" xfId="4" applyNumberFormat="1" applyFont="1" applyFill="1" applyBorder="1" applyAlignment="1">
      <alignment horizontal="right" vertical="center"/>
    </xf>
    <xf numFmtId="2" fontId="33" fillId="3" borderId="11" xfId="4" applyNumberFormat="1" applyFont="1" applyFill="1" applyBorder="1" applyAlignment="1">
      <alignment horizontal="right" vertical="center"/>
    </xf>
    <xf numFmtId="2" fontId="2" fillId="13" borderId="25" xfId="4" applyNumberFormat="1" applyFont="1" applyFill="1" applyBorder="1" applyAlignment="1">
      <alignment horizontal="right" vertical="center"/>
    </xf>
    <xf numFmtId="0" fontId="0" fillId="0" borderId="0" xfId="0" applyAlignment="1">
      <alignment vertical="center"/>
    </xf>
    <xf numFmtId="0" fontId="0" fillId="0" borderId="0" xfId="0" applyAlignment="1">
      <alignment horizontal="right" vertical="center"/>
    </xf>
    <xf numFmtId="0" fontId="9" fillId="0" borderId="0" xfId="0" applyFont="1" applyAlignment="1">
      <alignment vertical="center"/>
    </xf>
    <xf numFmtId="0" fontId="3" fillId="2" borderId="1" xfId="0" applyFont="1" applyFill="1" applyBorder="1" applyAlignment="1">
      <alignment vertical="center"/>
    </xf>
    <xf numFmtId="0" fontId="0" fillId="2" borderId="7" xfId="0" applyFill="1" applyBorder="1" applyAlignment="1">
      <alignment horizontal="right" vertical="center"/>
    </xf>
    <xf numFmtId="0" fontId="2" fillId="6" borderId="1" xfId="4" applyFont="1" applyFill="1" applyBorder="1" applyAlignment="1">
      <alignment vertical="center"/>
    </xf>
    <xf numFmtId="0" fontId="2" fillId="6" borderId="1" xfId="4" applyFont="1" applyFill="1" applyBorder="1" applyAlignment="1">
      <alignment horizontal="left" vertical="center"/>
    </xf>
    <xf numFmtId="0" fontId="9" fillId="6" borderId="12" xfId="4" applyFont="1" applyFill="1" applyBorder="1" applyAlignment="1">
      <alignment vertical="center"/>
    </xf>
    <xf numFmtId="0" fontId="2" fillId="6" borderId="7" xfId="4" applyFont="1" applyFill="1" applyBorder="1" applyAlignment="1">
      <alignment vertical="center"/>
    </xf>
    <xf numFmtId="0" fontId="2" fillId="6" borderId="3" xfId="4" applyFont="1" applyFill="1" applyBorder="1" applyAlignment="1">
      <alignment horizontal="left" vertical="center"/>
    </xf>
    <xf numFmtId="0" fontId="9" fillId="6" borderId="8" xfId="4" applyFont="1" applyFill="1" applyBorder="1" applyAlignment="1">
      <alignment horizontal="right" vertical="center"/>
    </xf>
    <xf numFmtId="0" fontId="9" fillId="6" borderId="4" xfId="4" applyFont="1" applyFill="1" applyBorder="1" applyAlignment="1">
      <alignment horizontal="right" vertical="center"/>
    </xf>
    <xf numFmtId="0" fontId="2" fillId="6" borderId="8" xfId="4" applyFont="1" applyFill="1" applyBorder="1" applyAlignment="1">
      <alignment horizontal="right" vertical="center"/>
    </xf>
    <xf numFmtId="0" fontId="2" fillId="6" borderId="4" xfId="4" applyFont="1" applyFill="1" applyBorder="1" applyAlignment="1">
      <alignment horizontal="right" vertical="center"/>
    </xf>
    <xf numFmtId="0" fontId="41" fillId="6" borderId="12" xfId="4" applyFill="1" applyBorder="1" applyAlignment="1">
      <alignment vertical="center"/>
    </xf>
    <xf numFmtId="0" fontId="41" fillId="6" borderId="7" xfId="4" applyFill="1" applyBorder="1" applyAlignment="1">
      <alignment vertical="center"/>
    </xf>
    <xf numFmtId="0" fontId="2" fillId="3" borderId="1" xfId="4" applyFont="1" applyFill="1" applyBorder="1" applyAlignment="1">
      <alignment horizontal="left" vertical="center" wrapText="1"/>
    </xf>
    <xf numFmtId="0" fontId="2" fillId="3" borderId="15" xfId="4" applyFont="1" applyFill="1" applyBorder="1" applyAlignment="1">
      <alignment horizontal="left" vertical="center" wrapText="1"/>
    </xf>
    <xf numFmtId="0" fontId="2" fillId="3" borderId="54" xfId="4" applyFont="1" applyFill="1" applyBorder="1" applyAlignment="1">
      <alignment horizontal="left" vertical="center" wrapText="1"/>
    </xf>
    <xf numFmtId="49" fontId="2" fillId="3" borderId="6" xfId="4" applyNumberFormat="1" applyFont="1" applyFill="1" applyBorder="1" applyAlignment="1">
      <alignment horizontal="left" vertical="center" wrapText="1"/>
    </xf>
    <xf numFmtId="0" fontId="2" fillId="3" borderId="6" xfId="4" applyFont="1" applyFill="1" applyBorder="1" applyAlignment="1">
      <alignment horizontal="left" vertical="center" wrapText="1"/>
    </xf>
    <xf numFmtId="0" fontId="2" fillId="3" borderId="57" xfId="4" applyFont="1" applyFill="1" applyBorder="1" applyAlignment="1">
      <alignment horizontal="right" vertical="center" wrapText="1"/>
    </xf>
    <xf numFmtId="0" fontId="2" fillId="3" borderId="15" xfId="4" applyFont="1" applyFill="1" applyBorder="1" applyAlignment="1">
      <alignment horizontal="right" vertical="center" wrapText="1"/>
    </xf>
    <xf numFmtId="0" fontId="2" fillId="3" borderId="54" xfId="4" applyFont="1" applyFill="1" applyBorder="1" applyAlignment="1">
      <alignment horizontal="right" vertical="center" wrapText="1"/>
    </xf>
    <xf numFmtId="49" fontId="2" fillId="3" borderId="6" xfId="4" applyNumberFormat="1" applyFont="1" applyFill="1" applyBorder="1" applyAlignment="1">
      <alignment horizontal="right" vertical="center" wrapText="1"/>
    </xf>
    <xf numFmtId="0" fontId="2" fillId="6" borderId="3" xfId="4" applyFont="1" applyFill="1" applyBorder="1" applyAlignment="1">
      <alignment vertical="center"/>
    </xf>
    <xf numFmtId="0" fontId="9" fillId="3" borderId="25" xfId="4" applyFont="1" applyFill="1" applyBorder="1" applyAlignment="1">
      <alignment horizontal="left" vertical="center" wrapText="1"/>
    </xf>
    <xf numFmtId="2" fontId="9" fillId="13" borderId="58" xfId="4" applyNumberFormat="1" applyFont="1" applyFill="1" applyBorder="1" applyAlignment="1">
      <alignment horizontal="right" vertical="center" wrapText="1"/>
    </xf>
    <xf numFmtId="2" fontId="9" fillId="13" borderId="23" xfId="4" applyNumberFormat="1" applyFont="1" applyFill="1" applyBorder="1" applyAlignment="1">
      <alignment horizontal="right" vertical="center" wrapText="1"/>
    </xf>
    <xf numFmtId="2" fontId="9" fillId="13" borderId="23" xfId="4" quotePrefix="1" applyNumberFormat="1" applyFont="1" applyFill="1" applyBorder="1" applyAlignment="1">
      <alignment vertical="center"/>
    </xf>
    <xf numFmtId="2" fontId="9" fillId="13" borderId="23" xfId="9" applyNumberFormat="1" applyFont="1" applyFill="1" applyBorder="1" applyAlignment="1">
      <alignment horizontal="right" vertical="center"/>
    </xf>
    <xf numFmtId="2" fontId="9" fillId="13" borderId="56" xfId="9" applyNumberFormat="1" applyFont="1" applyFill="1" applyBorder="1" applyAlignment="1">
      <alignment horizontal="right" vertical="center"/>
    </xf>
    <xf numFmtId="0" fontId="9" fillId="3" borderId="13" xfId="4" applyFont="1" applyFill="1" applyBorder="1" applyAlignment="1">
      <alignment horizontal="left" vertical="center" wrapText="1"/>
    </xf>
    <xf numFmtId="2" fontId="28" fillId="13" borderId="58" xfId="7" applyNumberFormat="1" applyFill="1" applyBorder="1" applyAlignment="1">
      <alignment horizontal="right" vertical="center" wrapText="1"/>
    </xf>
    <xf numFmtId="2" fontId="28" fillId="13" borderId="23" xfId="7" applyNumberFormat="1" applyFill="1" applyBorder="1" applyAlignment="1">
      <alignment horizontal="right" vertical="center" wrapText="1"/>
    </xf>
    <xf numFmtId="2" fontId="28" fillId="13" borderId="56" xfId="7" applyNumberFormat="1" applyFill="1" applyBorder="1" applyAlignment="1">
      <alignment horizontal="right" vertical="center" wrapText="1"/>
    </xf>
    <xf numFmtId="2" fontId="2" fillId="13" borderId="69" xfId="9" quotePrefix="1" applyNumberFormat="1" applyFont="1" applyFill="1" applyBorder="1" applyAlignment="1">
      <alignment horizontal="right" vertical="center"/>
    </xf>
    <xf numFmtId="0" fontId="2" fillId="3" borderId="6" xfId="4" applyFont="1" applyFill="1" applyBorder="1" applyAlignment="1">
      <alignment vertical="center" wrapText="1"/>
    </xf>
    <xf numFmtId="2" fontId="9" fillId="13" borderId="59" xfId="4" applyNumberFormat="1" applyFont="1" applyFill="1" applyBorder="1" applyAlignment="1">
      <alignment horizontal="right" vertical="center" wrapText="1"/>
    </xf>
    <xf numFmtId="2" fontId="9" fillId="13" borderId="17" xfId="4" applyNumberFormat="1" applyFont="1" applyFill="1" applyBorder="1" applyAlignment="1">
      <alignment horizontal="right" vertical="center" wrapText="1"/>
    </xf>
    <xf numFmtId="2" fontId="9" fillId="13" borderId="17" xfId="4" quotePrefix="1" applyNumberFormat="1" applyFont="1" applyFill="1" applyBorder="1" applyAlignment="1">
      <alignment vertical="center"/>
    </xf>
    <xf numFmtId="2" fontId="9" fillId="13" borderId="17" xfId="9" applyNumberFormat="1" applyFont="1" applyFill="1" applyBorder="1" applyAlignment="1">
      <alignment horizontal="right" vertical="center"/>
    </xf>
    <xf numFmtId="2" fontId="9" fillId="13" borderId="55" xfId="9" applyNumberFormat="1" applyFont="1" applyFill="1" applyBorder="1" applyAlignment="1">
      <alignment horizontal="right" vertical="center"/>
    </xf>
    <xf numFmtId="2" fontId="2" fillId="13" borderId="53" xfId="4" applyNumberFormat="1" applyFont="1" applyFill="1" applyBorder="1" applyAlignment="1">
      <alignment horizontal="right" vertical="center" wrapText="1"/>
    </xf>
    <xf numFmtId="2" fontId="28" fillId="13" borderId="59" xfId="7" applyNumberFormat="1" applyFill="1" applyBorder="1" applyAlignment="1">
      <alignment horizontal="right" vertical="center" wrapText="1"/>
    </xf>
    <xf numFmtId="2" fontId="28" fillId="13" borderId="17" xfId="7" applyNumberFormat="1" applyFill="1" applyBorder="1" applyAlignment="1">
      <alignment horizontal="right" vertical="center" wrapText="1"/>
    </xf>
    <xf numFmtId="2" fontId="28" fillId="13" borderId="55" xfId="7" applyNumberFormat="1" applyFill="1" applyBorder="1" applyAlignment="1">
      <alignment horizontal="right" vertical="center" wrapText="1"/>
    </xf>
    <xf numFmtId="2" fontId="31" fillId="13" borderId="53" xfId="7" applyNumberFormat="1" applyFont="1" applyFill="1" applyBorder="1" applyAlignment="1">
      <alignment horizontal="right" vertical="center" wrapText="1"/>
    </xf>
    <xf numFmtId="2" fontId="9" fillId="13" borderId="55" xfId="4" quotePrefix="1" applyNumberFormat="1" applyFont="1" applyFill="1" applyBorder="1" applyAlignment="1">
      <alignment vertical="center"/>
    </xf>
    <xf numFmtId="2" fontId="9" fillId="13" borderId="43" xfId="4" applyNumberFormat="1" applyFont="1" applyFill="1" applyBorder="1" applyAlignment="1">
      <alignment horizontal="right" vertical="center"/>
    </xf>
    <xf numFmtId="2" fontId="9" fillId="13" borderId="20" xfId="9" quotePrefix="1" applyNumberFormat="1" applyFont="1" applyFill="1" applyBorder="1" applyAlignment="1">
      <alignment horizontal="right" vertical="center"/>
    </xf>
    <xf numFmtId="2" fontId="2" fillId="13" borderId="70" xfId="4" applyNumberFormat="1" applyFont="1" applyFill="1" applyBorder="1" applyAlignment="1">
      <alignment horizontal="right" vertical="center" wrapText="1"/>
    </xf>
    <xf numFmtId="2" fontId="28" fillId="13" borderId="43" xfId="7" applyNumberFormat="1" applyFill="1" applyBorder="1" applyAlignment="1">
      <alignment horizontal="right" vertical="center" wrapText="1"/>
    </xf>
    <xf numFmtId="2" fontId="28" fillId="13" borderId="20" xfId="7" applyNumberFormat="1" applyFill="1" applyBorder="1" applyAlignment="1">
      <alignment horizontal="right" vertical="center" wrapText="1"/>
    </xf>
    <xf numFmtId="2" fontId="28" fillId="13" borderId="67" xfId="7" applyNumberFormat="1" applyFill="1" applyBorder="1" applyAlignment="1">
      <alignment horizontal="right" vertical="center" wrapText="1"/>
    </xf>
    <xf numFmtId="2" fontId="31" fillId="13" borderId="70" xfId="7" applyNumberFormat="1" applyFont="1" applyFill="1" applyBorder="1" applyAlignment="1">
      <alignment horizontal="right" vertical="center" wrapText="1"/>
    </xf>
    <xf numFmtId="0" fontId="9" fillId="13" borderId="20" xfId="4" applyFont="1" applyFill="1" applyBorder="1" applyAlignment="1">
      <alignment horizontal="right" vertical="center"/>
    </xf>
    <xf numFmtId="2" fontId="9" fillId="13" borderId="67" xfId="9" applyNumberFormat="1" applyFont="1" applyFill="1" applyBorder="1" applyAlignment="1">
      <alignment horizontal="right" vertical="center"/>
    </xf>
    <xf numFmtId="2" fontId="2" fillId="13" borderId="57" xfId="4" applyNumberFormat="1" applyFont="1" applyFill="1" applyBorder="1" applyAlignment="1">
      <alignment horizontal="right" vertical="center" wrapText="1"/>
    </xf>
    <xf numFmtId="2" fontId="2" fillId="13" borderId="15" xfId="4" applyNumberFormat="1" applyFont="1" applyFill="1" applyBorder="1" applyAlignment="1">
      <alignment horizontal="right" vertical="center"/>
    </xf>
    <xf numFmtId="2" fontId="2" fillId="13" borderId="54" xfId="4" applyNumberFormat="1" applyFont="1" applyFill="1" applyBorder="1" applyAlignment="1">
      <alignment horizontal="right" vertical="center"/>
    </xf>
    <xf numFmtId="2" fontId="2" fillId="13" borderId="6" xfId="4" applyNumberFormat="1" applyFont="1" applyFill="1" applyBorder="1" applyAlignment="1">
      <alignment horizontal="right" vertical="center" wrapText="1"/>
    </xf>
    <xf numFmtId="2" fontId="31" fillId="13" borderId="57" xfId="10" applyNumberFormat="1" applyFont="1" applyFill="1" applyBorder="1" applyAlignment="1">
      <alignment horizontal="right" vertical="center" wrapText="1"/>
    </xf>
    <xf numFmtId="2" fontId="31" fillId="13" borderId="15" xfId="10" applyNumberFormat="1" applyFont="1" applyFill="1" applyBorder="1" applyAlignment="1">
      <alignment horizontal="right" vertical="center" wrapText="1"/>
    </xf>
    <xf numFmtId="2" fontId="31" fillId="13" borderId="54" xfId="10" applyNumberFormat="1" applyFont="1" applyFill="1" applyBorder="1" applyAlignment="1">
      <alignment horizontal="right" vertical="center" wrapText="1"/>
    </xf>
    <xf numFmtId="0" fontId="2" fillId="0" borderId="0" xfId="4" applyFont="1" applyAlignment="1">
      <alignment vertical="center"/>
    </xf>
    <xf numFmtId="0" fontId="9" fillId="0" borderId="0" xfId="4" applyFont="1" applyAlignment="1">
      <alignment horizontal="left" vertical="center"/>
    </xf>
    <xf numFmtId="0" fontId="9" fillId="0" borderId="0" xfId="4" applyFont="1" applyAlignment="1">
      <alignment horizontal="right" vertical="center"/>
    </xf>
    <xf numFmtId="0" fontId="9" fillId="6" borderId="8" xfId="4" applyFont="1" applyFill="1" applyBorder="1" applyAlignment="1">
      <alignment vertical="center"/>
    </xf>
    <xf numFmtId="0" fontId="2" fillId="6" borderId="4" xfId="4" applyFont="1" applyFill="1" applyBorder="1" applyAlignment="1">
      <alignment vertical="center"/>
    </xf>
    <xf numFmtId="0" fontId="29" fillId="0" borderId="0" xfId="0" applyFont="1" applyAlignment="1">
      <alignment horizontal="left" vertical="center"/>
    </xf>
    <xf numFmtId="3" fontId="28" fillId="13" borderId="56" xfId="7" applyNumberFormat="1" applyFill="1" applyBorder="1" applyAlignment="1">
      <alignment horizontal="right" vertical="center" wrapText="1"/>
    </xf>
    <xf numFmtId="2" fontId="2" fillId="13" borderId="69" xfId="9" quotePrefix="1" applyNumberFormat="1" applyFont="1" applyFill="1" applyBorder="1" applyAlignment="1">
      <alignment vertical="center"/>
    </xf>
    <xf numFmtId="2" fontId="31" fillId="13" borderId="69" xfId="7" applyNumberFormat="1" applyFont="1" applyFill="1" applyBorder="1" applyAlignment="1">
      <alignment horizontal="right" vertical="center" wrapText="1"/>
    </xf>
    <xf numFmtId="0" fontId="9" fillId="13" borderId="23" xfId="4" applyFont="1" applyFill="1" applyBorder="1" applyAlignment="1">
      <alignment horizontal="right" vertical="center"/>
    </xf>
    <xf numFmtId="0" fontId="9" fillId="13" borderId="17" xfId="4" applyFont="1" applyFill="1" applyBorder="1" applyAlignment="1">
      <alignment horizontal="right" vertical="center"/>
    </xf>
    <xf numFmtId="2" fontId="9" fillId="13" borderId="55" xfId="9" quotePrefix="1" applyNumberFormat="1" applyFont="1" applyFill="1" applyBorder="1" applyAlignment="1">
      <alignment horizontal="right" vertical="center"/>
    </xf>
    <xf numFmtId="0" fontId="2" fillId="6" borderId="2" xfId="4" applyFont="1" applyFill="1" applyBorder="1" applyAlignment="1">
      <alignment vertical="center"/>
    </xf>
    <xf numFmtId="0" fontId="2" fillId="6" borderId="7" xfId="4" applyFont="1" applyFill="1" applyBorder="1" applyAlignment="1">
      <alignment horizontal="right" vertical="center"/>
    </xf>
    <xf numFmtId="2" fontId="28" fillId="17" borderId="56" xfId="7" applyNumberFormat="1" applyFill="1" applyBorder="1" applyAlignment="1">
      <alignment horizontal="right" vertical="center" wrapText="1"/>
    </xf>
    <xf numFmtId="0" fontId="28" fillId="13" borderId="58" xfId="7" applyFill="1" applyBorder="1" applyAlignment="1">
      <alignment horizontal="right" vertical="center" wrapText="1"/>
    </xf>
    <xf numFmtId="0" fontId="28" fillId="13" borderId="23" xfId="7" applyFill="1" applyBorder="1" applyAlignment="1">
      <alignment horizontal="right" vertical="center" wrapText="1"/>
    </xf>
    <xf numFmtId="0" fontId="28" fillId="13" borderId="17" xfId="7" applyFill="1" applyBorder="1" applyAlignment="1">
      <alignment horizontal="right" vertical="center" wrapText="1"/>
    </xf>
    <xf numFmtId="2" fontId="28" fillId="17" borderId="20" xfId="7" applyNumberFormat="1" applyFill="1" applyBorder="1" applyAlignment="1">
      <alignment horizontal="right" vertical="center" wrapText="1"/>
    </xf>
    <xf numFmtId="2" fontId="31" fillId="17" borderId="57" xfId="7" applyNumberFormat="1" applyFont="1" applyFill="1" applyBorder="1" applyAlignment="1">
      <alignment horizontal="right" vertical="center" wrapText="1"/>
    </xf>
    <xf numFmtId="2" fontId="31" fillId="17" borderId="15" xfId="7" applyNumberFormat="1" applyFont="1" applyFill="1" applyBorder="1" applyAlignment="1">
      <alignment horizontal="right" vertical="center" wrapText="1"/>
    </xf>
    <xf numFmtId="2" fontId="31" fillId="17" borderId="54" xfId="7" applyNumberFormat="1" applyFont="1" applyFill="1" applyBorder="1" applyAlignment="1">
      <alignment horizontal="right" vertical="center" wrapText="1"/>
    </xf>
    <xf numFmtId="2" fontId="9" fillId="13" borderId="43" xfId="9" applyNumberFormat="1" applyFont="1" applyFill="1" applyBorder="1" applyAlignment="1">
      <alignment horizontal="right" vertical="center"/>
    </xf>
    <xf numFmtId="2" fontId="9" fillId="13" borderId="20" xfId="9" applyNumberFormat="1" applyFont="1" applyFill="1" applyBorder="1" applyAlignment="1">
      <alignment horizontal="right" vertical="center"/>
    </xf>
    <xf numFmtId="0" fontId="2" fillId="6" borderId="25" xfId="4" applyFont="1" applyFill="1" applyBorder="1" applyAlignment="1">
      <alignment vertical="center"/>
    </xf>
    <xf numFmtId="0" fontId="2" fillId="6" borderId="0" xfId="4" applyFont="1" applyFill="1" applyAlignment="1">
      <alignment vertical="center"/>
    </xf>
    <xf numFmtId="0" fontId="2" fillId="6" borderId="10" xfId="4" applyFont="1" applyFill="1" applyBorder="1" applyAlignment="1">
      <alignment vertical="center"/>
    </xf>
    <xf numFmtId="2" fontId="9" fillId="13" borderId="56" xfId="4" applyNumberFormat="1" applyFont="1" applyFill="1" applyBorder="1" applyAlignment="1">
      <alignment horizontal="right" vertical="center" wrapText="1"/>
    </xf>
    <xf numFmtId="2" fontId="9" fillId="13" borderId="23" xfId="4" applyNumberFormat="1" applyFont="1" applyFill="1" applyBorder="1" applyAlignment="1">
      <alignment horizontal="right" vertical="center"/>
    </xf>
    <xf numFmtId="0" fontId="9" fillId="13" borderId="56" xfId="4" applyFont="1" applyFill="1" applyBorder="1" applyAlignment="1">
      <alignment horizontal="right" vertical="center"/>
    </xf>
    <xf numFmtId="0" fontId="2" fillId="13" borderId="69" xfId="4" applyFont="1" applyFill="1" applyBorder="1" applyAlignment="1">
      <alignment horizontal="right" vertical="center"/>
    </xf>
    <xf numFmtId="2" fontId="9" fillId="13" borderId="55" xfId="4" applyNumberFormat="1" applyFont="1" applyFill="1" applyBorder="1" applyAlignment="1">
      <alignment horizontal="right" vertical="center" wrapText="1"/>
    </xf>
    <xf numFmtId="2" fontId="9" fillId="13" borderId="67" xfId="4" applyNumberFormat="1" applyFont="1" applyFill="1" applyBorder="1" applyAlignment="1">
      <alignment horizontal="right" vertical="center" wrapText="1"/>
    </xf>
    <xf numFmtId="0" fontId="2" fillId="6" borderId="12" xfId="4" applyFont="1" applyFill="1" applyBorder="1" applyAlignment="1">
      <alignment horizontal="right" vertical="center"/>
    </xf>
    <xf numFmtId="0" fontId="2" fillId="6" borderId="12" xfId="4" applyFont="1" applyFill="1" applyBorder="1" applyAlignment="1">
      <alignment vertical="center"/>
    </xf>
    <xf numFmtId="0" fontId="2" fillId="6" borderId="0" xfId="4" applyFont="1" applyFill="1" applyAlignment="1">
      <alignment horizontal="right" vertical="center"/>
    </xf>
    <xf numFmtId="0" fontId="2" fillId="6" borderId="10" xfId="4" applyFont="1" applyFill="1" applyBorder="1" applyAlignment="1">
      <alignment horizontal="right" vertical="center"/>
    </xf>
    <xf numFmtId="0" fontId="2" fillId="3" borderId="42" xfId="4" applyFont="1" applyFill="1" applyBorder="1" applyAlignment="1">
      <alignment horizontal="right" vertical="center" wrapText="1"/>
    </xf>
    <xf numFmtId="0" fontId="2" fillId="3" borderId="40" xfId="4" applyFont="1" applyFill="1" applyBorder="1" applyAlignment="1">
      <alignment horizontal="right" vertical="center" wrapText="1"/>
    </xf>
    <xf numFmtId="0" fontId="2" fillId="3" borderId="79" xfId="4" applyFont="1" applyFill="1" applyBorder="1" applyAlignment="1">
      <alignment horizontal="right" vertical="center" wrapText="1"/>
    </xf>
    <xf numFmtId="49" fontId="2" fillId="3" borderId="25" xfId="4" applyNumberFormat="1" applyFont="1" applyFill="1" applyBorder="1" applyAlignment="1">
      <alignment horizontal="right" vertical="center" wrapText="1"/>
    </xf>
    <xf numFmtId="2" fontId="9" fillId="13" borderId="33" xfId="8" applyNumberFormat="1" applyFont="1" applyFill="1" applyBorder="1" applyAlignment="1">
      <alignment horizontal="right" vertical="center"/>
    </xf>
    <xf numFmtId="2" fontId="9" fillId="13" borderId="34" xfId="8" applyNumberFormat="1" applyFont="1" applyFill="1" applyBorder="1" applyAlignment="1">
      <alignment horizontal="right" vertical="center"/>
    </xf>
    <xf numFmtId="2" fontId="28" fillId="17" borderId="34" xfId="7" applyNumberFormat="1" applyFill="1" applyBorder="1" applyAlignment="1">
      <alignment horizontal="right" vertical="center" wrapText="1"/>
    </xf>
    <xf numFmtId="2" fontId="9" fillId="13" borderId="76" xfId="8" applyNumberFormat="1" applyFont="1" applyFill="1" applyBorder="1" applyAlignment="1">
      <alignment horizontal="right" vertical="center"/>
    </xf>
    <xf numFmtId="2" fontId="9" fillId="13" borderId="56" xfId="4" applyNumberFormat="1" applyFont="1" applyFill="1" applyBorder="1" applyAlignment="1">
      <alignment horizontal="right" vertical="center"/>
    </xf>
    <xf numFmtId="2" fontId="9" fillId="13" borderId="58" xfId="4" applyNumberFormat="1" applyFont="1" applyFill="1" applyBorder="1" applyAlignment="1">
      <alignment horizontal="right" vertical="center"/>
    </xf>
    <xf numFmtId="2" fontId="28" fillId="17" borderId="16" xfId="7" applyNumberFormat="1" applyFill="1" applyBorder="1" applyAlignment="1">
      <alignment horizontal="right" vertical="center" wrapText="1"/>
    </xf>
    <xf numFmtId="0" fontId="2" fillId="3" borderId="14" xfId="4" applyFont="1" applyFill="1" applyBorder="1" applyAlignment="1">
      <alignment horizontal="left" vertical="center" wrapText="1"/>
    </xf>
    <xf numFmtId="2" fontId="2" fillId="13" borderId="14" xfId="4" applyNumberFormat="1" applyFont="1" applyFill="1" applyBorder="1" applyAlignment="1">
      <alignment horizontal="right" vertical="center" wrapText="1"/>
    </xf>
    <xf numFmtId="2" fontId="9" fillId="13" borderId="19" xfId="4" applyNumberFormat="1" applyFont="1" applyFill="1" applyBorder="1" applyAlignment="1">
      <alignment horizontal="right" vertical="center"/>
    </xf>
    <xf numFmtId="2" fontId="31" fillId="17" borderId="51" xfId="7" applyNumberFormat="1" applyFont="1" applyFill="1" applyBorder="1" applyAlignment="1">
      <alignment horizontal="right" vertical="center" wrapText="1"/>
    </xf>
    <xf numFmtId="3" fontId="30" fillId="0" borderId="0" xfId="0" applyNumberFormat="1" applyFont="1" applyAlignment="1">
      <alignment horizontal="right" vertical="center"/>
    </xf>
    <xf numFmtId="0" fontId="9" fillId="6" borderId="12" xfId="4" applyFont="1" applyFill="1" applyBorder="1" applyAlignment="1">
      <alignment horizontal="right" vertical="center"/>
    </xf>
    <xf numFmtId="0" fontId="2" fillId="3" borderId="51" xfId="4" applyFont="1" applyFill="1" applyBorder="1" applyAlignment="1">
      <alignment horizontal="right" vertical="center" wrapText="1"/>
    </xf>
    <xf numFmtId="49" fontId="2" fillId="3" borderId="50" xfId="4" applyNumberFormat="1" applyFont="1" applyFill="1" applyBorder="1" applyAlignment="1">
      <alignment horizontal="right" vertical="center" wrapText="1"/>
    </xf>
    <xf numFmtId="2" fontId="2" fillId="13" borderId="69" xfId="4" applyNumberFormat="1" applyFont="1" applyFill="1" applyBorder="1" applyAlignment="1">
      <alignment horizontal="right" vertical="center"/>
    </xf>
    <xf numFmtId="2" fontId="2" fillId="13" borderId="35" xfId="4" applyNumberFormat="1" applyFont="1" applyFill="1" applyBorder="1" applyAlignment="1">
      <alignment horizontal="right" vertical="center" wrapText="1"/>
    </xf>
    <xf numFmtId="2" fontId="2" fillId="13" borderId="18" xfId="4" applyNumberFormat="1" applyFont="1" applyFill="1" applyBorder="1" applyAlignment="1">
      <alignment horizontal="right" vertical="center" wrapText="1"/>
    </xf>
    <xf numFmtId="2" fontId="9" fillId="13" borderId="59" xfId="4" quotePrefix="1" applyNumberFormat="1" applyFont="1" applyFill="1" applyBorder="1" applyAlignment="1">
      <alignment horizontal="right" vertical="center"/>
    </xf>
    <xf numFmtId="2" fontId="9" fillId="13" borderId="17" xfId="4" quotePrefix="1" applyNumberFormat="1" applyFont="1" applyFill="1" applyBorder="1" applyAlignment="1">
      <alignment horizontal="right" vertical="center"/>
    </xf>
    <xf numFmtId="2" fontId="9" fillId="13" borderId="55" xfId="4" quotePrefix="1" applyNumberFormat="1" applyFont="1" applyFill="1" applyBorder="1" applyAlignment="1">
      <alignment horizontal="right" vertical="center"/>
    </xf>
    <xf numFmtId="2" fontId="9" fillId="13" borderId="16" xfId="4" applyNumberFormat="1" applyFont="1" applyFill="1" applyBorder="1" applyAlignment="1">
      <alignment horizontal="right" vertical="center" wrapText="1"/>
    </xf>
    <xf numFmtId="2" fontId="2" fillId="13" borderId="57" xfId="4" applyNumberFormat="1" applyFont="1" applyFill="1" applyBorder="1" applyAlignment="1">
      <alignment horizontal="right" vertical="center"/>
    </xf>
    <xf numFmtId="2" fontId="2" fillId="13" borderId="6" xfId="4" applyNumberFormat="1" applyFont="1" applyFill="1" applyBorder="1" applyAlignment="1">
      <alignment horizontal="right" vertical="center"/>
    </xf>
    <xf numFmtId="2" fontId="31" fillId="17" borderId="26" xfId="7" applyNumberFormat="1" applyFont="1" applyFill="1" applyBorder="1" applyAlignment="1">
      <alignment horizontal="right" vertical="center" wrapText="1"/>
    </xf>
    <xf numFmtId="2" fontId="31" fillId="17" borderId="27" xfId="7" applyNumberFormat="1" applyFont="1" applyFill="1" applyBorder="1" applyAlignment="1">
      <alignment horizontal="right" vertical="center" wrapText="1"/>
    </xf>
    <xf numFmtId="2" fontId="2" fillId="13" borderId="28" xfId="4" applyNumberFormat="1" applyFont="1" applyFill="1" applyBorder="1" applyAlignment="1">
      <alignment horizontal="right" vertical="center" wrapText="1"/>
    </xf>
    <xf numFmtId="0" fontId="2" fillId="13" borderId="57" xfId="4" applyFont="1" applyFill="1" applyBorder="1" applyAlignment="1">
      <alignment horizontal="right" vertical="center" wrapText="1"/>
    </xf>
    <xf numFmtId="0" fontId="2" fillId="13" borderId="15" xfId="4" applyFont="1" applyFill="1" applyBorder="1" applyAlignment="1">
      <alignment horizontal="right" vertical="center" wrapText="1"/>
    </xf>
    <xf numFmtId="49" fontId="2" fillId="13" borderId="50" xfId="4" applyNumberFormat="1" applyFont="1" applyFill="1" applyBorder="1" applyAlignment="1">
      <alignment horizontal="right" vertical="center" wrapText="1"/>
    </xf>
    <xf numFmtId="2" fontId="2" fillId="13" borderId="23" xfId="4" applyNumberFormat="1" applyFont="1" applyFill="1" applyBorder="1" applyAlignment="1">
      <alignment horizontal="right" vertical="center" wrapText="1"/>
    </xf>
    <xf numFmtId="2" fontId="2" fillId="13" borderId="17" xfId="4" applyNumberFormat="1" applyFont="1" applyFill="1" applyBorder="1" applyAlignment="1">
      <alignment horizontal="right" vertical="center" wrapText="1"/>
    </xf>
    <xf numFmtId="2" fontId="2" fillId="13" borderId="20" xfId="4" applyNumberFormat="1" applyFont="1" applyFill="1" applyBorder="1" applyAlignment="1">
      <alignment horizontal="right" vertical="center" wrapText="1"/>
    </xf>
    <xf numFmtId="2" fontId="2" fillId="13" borderId="50" xfId="4" applyNumberFormat="1" applyFont="1" applyFill="1" applyBorder="1" applyAlignment="1">
      <alignment horizontal="right" vertical="center" wrapText="1"/>
    </xf>
    <xf numFmtId="168" fontId="18" fillId="14" borderId="0" xfId="0" applyNumberFormat="1" applyFont="1" applyFill="1" applyAlignment="1">
      <alignment horizontal="right" vertical="center"/>
    </xf>
    <xf numFmtId="168" fontId="18" fillId="14" borderId="0" xfId="0" applyNumberFormat="1" applyFont="1" applyFill="1"/>
    <xf numFmtId="171" fontId="2" fillId="3" borderId="11" xfId="0" applyNumberFormat="1" applyFont="1" applyFill="1" applyBorder="1"/>
    <xf numFmtId="16" fontId="2" fillId="13" borderId="6" xfId="0" applyNumberFormat="1" applyFont="1" applyFill="1" applyBorder="1" applyAlignment="1">
      <alignment horizontal="right"/>
    </xf>
    <xf numFmtId="0" fontId="9" fillId="13" borderId="50" xfId="0" applyFont="1" applyFill="1" applyBorder="1"/>
    <xf numFmtId="171" fontId="2" fillId="3" borderId="7" xfId="0" applyNumberFormat="1" applyFont="1" applyFill="1" applyBorder="1"/>
    <xf numFmtId="0" fontId="46" fillId="6" borderId="1" xfId="0" applyFont="1" applyFill="1" applyBorder="1"/>
    <xf numFmtId="0" fontId="46" fillId="6" borderId="12" xfId="0" applyFont="1" applyFill="1" applyBorder="1"/>
    <xf numFmtId="0" fontId="46" fillId="6" borderId="7" xfId="0" applyFont="1" applyFill="1" applyBorder="1"/>
    <xf numFmtId="1" fontId="47" fillId="0" borderId="0" xfId="0" applyNumberFormat="1" applyFont="1"/>
    <xf numFmtId="0" fontId="47" fillId="0" borderId="0" xfId="0" applyFont="1"/>
    <xf numFmtId="0" fontId="47" fillId="6" borderId="12" xfId="0" applyFont="1" applyFill="1" applyBorder="1"/>
    <xf numFmtId="1" fontId="47" fillId="6" borderId="7" xfId="0" applyNumberFormat="1" applyFont="1" applyFill="1" applyBorder="1"/>
    <xf numFmtId="1" fontId="46" fillId="6" borderId="1" xfId="0" applyNumberFormat="1" applyFont="1" applyFill="1" applyBorder="1"/>
    <xf numFmtId="1" fontId="47" fillId="6" borderId="12" xfId="0" applyNumberFormat="1" applyFont="1" applyFill="1" applyBorder="1"/>
    <xf numFmtId="0" fontId="47" fillId="6" borderId="7" xfId="0" applyFont="1" applyFill="1" applyBorder="1"/>
    <xf numFmtId="1" fontId="0" fillId="0" borderId="9" xfId="0" applyNumberFormat="1" applyBorder="1"/>
    <xf numFmtId="1" fontId="48" fillId="3" borderId="51" xfId="0" applyNumberFormat="1" applyFont="1" applyFill="1" applyBorder="1" applyAlignment="1">
      <alignment horizontal="center"/>
    </xf>
    <xf numFmtId="1" fontId="48" fillId="3" borderId="30" xfId="0" applyNumberFormat="1" applyFont="1" applyFill="1" applyBorder="1" applyAlignment="1">
      <alignment horizontal="center"/>
    </xf>
    <xf numFmtId="1" fontId="48" fillId="3" borderId="50" xfId="0" applyNumberFormat="1" applyFont="1" applyFill="1" applyBorder="1" applyAlignment="1">
      <alignment horizontal="center"/>
    </xf>
    <xf numFmtId="0" fontId="9" fillId="11" borderId="2" xfId="0" applyFont="1" applyFill="1" applyBorder="1"/>
    <xf numFmtId="0" fontId="9" fillId="11" borderId="5" xfId="0" applyFont="1" applyFill="1" applyBorder="1"/>
    <xf numFmtId="0" fontId="2" fillId="6" borderId="1" xfId="0" applyFont="1" applyFill="1" applyBorder="1" applyAlignment="1">
      <alignment vertical="center"/>
    </xf>
    <xf numFmtId="168" fontId="9" fillId="13" borderId="77" xfId="0" applyNumberFormat="1" applyFont="1" applyFill="1" applyBorder="1"/>
    <xf numFmtId="9" fontId="9" fillId="13" borderId="67" xfId="0" applyNumberFormat="1" applyFont="1" applyFill="1" applyBorder="1"/>
    <xf numFmtId="9" fontId="9" fillId="13" borderId="21" xfId="0" applyNumberFormat="1" applyFont="1" applyFill="1" applyBorder="1"/>
    <xf numFmtId="168" fontId="9" fillId="0" borderId="0" xfId="0" applyNumberFormat="1" applyFont="1"/>
    <xf numFmtId="9" fontId="9" fillId="13" borderId="24" xfId="0" applyNumberFormat="1" applyFont="1" applyFill="1" applyBorder="1"/>
    <xf numFmtId="10" fontId="23" fillId="3" borderId="11" xfId="0" applyNumberFormat="1" applyFont="1" applyFill="1" applyBorder="1"/>
    <xf numFmtId="2" fontId="0" fillId="13" borderId="53" xfId="0" applyNumberFormat="1" applyFill="1" applyBorder="1"/>
    <xf numFmtId="0" fontId="37" fillId="3" borderId="4" xfId="0" applyFont="1" applyFill="1" applyBorder="1" applyAlignment="1">
      <alignment horizontal="left" vertical="center"/>
    </xf>
    <xf numFmtId="0" fontId="37" fillId="3" borderId="10" xfId="0" applyFont="1" applyFill="1" applyBorder="1" applyAlignment="1">
      <alignment horizontal="left" vertical="center"/>
    </xf>
    <xf numFmtId="0" fontId="37" fillId="3" borderId="11" xfId="0" applyFont="1" applyFill="1" applyBorder="1" applyAlignment="1">
      <alignment horizontal="left" vertical="center"/>
    </xf>
    <xf numFmtId="0" fontId="12" fillId="2" borderId="12" xfId="0" applyFont="1" applyFill="1" applyBorder="1"/>
    <xf numFmtId="166" fontId="2" fillId="3" borderId="25" xfId="0" applyNumberFormat="1" applyFont="1" applyFill="1" applyBorder="1" applyAlignment="1">
      <alignment horizontal="center"/>
    </xf>
    <xf numFmtId="166" fontId="2" fillId="3" borderId="13" xfId="0" applyNumberFormat="1" applyFont="1" applyFill="1" applyBorder="1" applyAlignment="1">
      <alignment horizontal="center"/>
    </xf>
    <xf numFmtId="168" fontId="18" fillId="14" borderId="0" xfId="0" applyNumberFormat="1" applyFont="1" applyFill="1" applyAlignment="1">
      <alignment horizontal="left" vertical="center"/>
    </xf>
    <xf numFmtId="168" fontId="18" fillId="14" borderId="0" xfId="0" applyNumberFormat="1" applyFont="1" applyFill="1" applyAlignment="1">
      <alignment horizontal="center"/>
    </xf>
    <xf numFmtId="168" fontId="18" fillId="14" borderId="0" xfId="0" applyNumberFormat="1" applyFont="1" applyFill="1" applyAlignment="1">
      <alignment horizontal="left"/>
    </xf>
    <xf numFmtId="168" fontId="18" fillId="14" borderId="0" xfId="0" applyNumberFormat="1" applyFont="1" applyFill="1" applyAlignment="1">
      <alignment horizontal="center" vertical="center"/>
    </xf>
    <xf numFmtId="165" fontId="9" fillId="13" borderId="14" xfId="0" applyNumberFormat="1" applyFont="1" applyFill="1" applyBorder="1"/>
    <xf numFmtId="4" fontId="9" fillId="13" borderId="14" xfId="0" applyNumberFormat="1" applyFont="1" applyFill="1" applyBorder="1"/>
    <xf numFmtId="168" fontId="18" fillId="14" borderId="0" xfId="0" applyNumberFormat="1" applyFont="1" applyFill="1" applyAlignment="1">
      <alignment horizontal="left" indent="1"/>
    </xf>
    <xf numFmtId="4" fontId="2" fillId="13" borderId="53" xfId="4" quotePrefix="1" applyNumberFormat="1" applyFont="1" applyFill="1" applyBorder="1" applyAlignment="1">
      <alignment horizontal="right" vertical="center"/>
    </xf>
    <xf numFmtId="0" fontId="9" fillId="6" borderId="7" xfId="4" applyFont="1" applyFill="1" applyBorder="1" applyAlignment="1">
      <alignment horizontal="right" vertical="center"/>
    </xf>
    <xf numFmtId="4" fontId="9" fillId="13" borderId="59" xfId="4" quotePrefix="1" applyNumberFormat="1" applyFont="1" applyFill="1" applyBorder="1" applyAlignment="1">
      <alignment horizontal="right" vertical="center"/>
    </xf>
    <xf numFmtId="4" fontId="9" fillId="13" borderId="17" xfId="4" quotePrefix="1" applyNumberFormat="1" applyFont="1" applyFill="1" applyBorder="1" applyAlignment="1">
      <alignment horizontal="right" vertical="center"/>
    </xf>
    <xf numFmtId="4" fontId="9" fillId="13" borderId="17" xfId="4" applyNumberFormat="1" applyFont="1" applyFill="1" applyBorder="1" applyAlignment="1">
      <alignment horizontal="right" vertical="center"/>
    </xf>
    <xf numFmtId="4" fontId="9" fillId="13" borderId="55" xfId="4" quotePrefix="1" applyNumberFormat="1" applyFont="1" applyFill="1" applyBorder="1" applyAlignment="1">
      <alignment horizontal="right" vertical="center"/>
    </xf>
    <xf numFmtId="0" fontId="9" fillId="0" borderId="0" xfId="4" applyFont="1" applyAlignment="1">
      <alignment vertical="center"/>
    </xf>
    <xf numFmtId="0" fontId="9" fillId="0" borderId="0" xfId="0" applyFont="1" applyAlignment="1">
      <alignment horizontal="left" vertical="center"/>
    </xf>
    <xf numFmtId="165" fontId="9" fillId="0" borderId="0" xfId="0" applyNumberFormat="1" applyFont="1" applyAlignment="1">
      <alignment horizontal="right" vertical="center"/>
    </xf>
    <xf numFmtId="0" fontId="9" fillId="6" borderId="0" xfId="4" applyFont="1" applyFill="1" applyAlignment="1">
      <alignment horizontal="right" vertical="center"/>
    </xf>
    <xf numFmtId="0" fontId="9" fillId="6" borderId="10" xfId="4" applyFont="1" applyFill="1" applyBorder="1" applyAlignment="1">
      <alignment horizontal="right" vertical="center"/>
    </xf>
    <xf numFmtId="0" fontId="9" fillId="0" borderId="0" xfId="0" applyFont="1" applyAlignment="1">
      <alignment horizontal="right" vertical="center"/>
    </xf>
    <xf numFmtId="2" fontId="9" fillId="13" borderId="20" xfId="8" applyNumberFormat="1" applyFont="1" applyFill="1" applyBorder="1" applyAlignment="1">
      <alignment horizontal="right" vertical="center"/>
    </xf>
    <xf numFmtId="2" fontId="9" fillId="13" borderId="17" xfId="8" applyNumberFormat="1" applyFont="1" applyFill="1" applyBorder="1" applyAlignment="1">
      <alignment horizontal="right" vertical="center"/>
    </xf>
    <xf numFmtId="2" fontId="9" fillId="13" borderId="59" xfId="8" quotePrefix="1" applyNumberFormat="1" applyFont="1" applyFill="1" applyBorder="1" applyAlignment="1">
      <alignment horizontal="right" vertical="center"/>
    </xf>
    <xf numFmtId="2" fontId="2" fillId="13" borderId="15" xfId="4" applyNumberFormat="1" applyFont="1" applyFill="1" applyBorder="1" applyAlignment="1">
      <alignment horizontal="right" vertical="center" wrapText="1"/>
    </xf>
    <xf numFmtId="0" fontId="9" fillId="13" borderId="55" xfId="4" applyFont="1" applyFill="1" applyBorder="1" applyAlignment="1">
      <alignment horizontal="right" vertical="center"/>
    </xf>
    <xf numFmtId="3" fontId="9" fillId="0" borderId="0" xfId="0" applyNumberFormat="1" applyFont="1" applyAlignment="1">
      <alignment horizontal="right" vertical="center"/>
    </xf>
    <xf numFmtId="0" fontId="57" fillId="0" borderId="0" xfId="5" applyFont="1" applyAlignment="1">
      <alignment vertical="center"/>
    </xf>
    <xf numFmtId="2" fontId="2" fillId="13" borderId="51" xfId="9" quotePrefix="1" applyNumberFormat="1" applyFont="1" applyFill="1" applyBorder="1" applyAlignment="1">
      <alignment horizontal="right" vertical="center"/>
    </xf>
    <xf numFmtId="2" fontId="2" fillId="13" borderId="15" xfId="9" quotePrefix="1" applyNumberFormat="1" applyFont="1" applyFill="1" applyBorder="1" applyAlignment="1">
      <alignment horizontal="right" vertical="center"/>
    </xf>
    <xf numFmtId="2" fontId="2" fillId="13" borderId="50" xfId="9" quotePrefix="1" applyNumberFormat="1" applyFont="1" applyFill="1" applyBorder="1" applyAlignment="1">
      <alignment horizontal="right" vertical="center"/>
    </xf>
    <xf numFmtId="3" fontId="0" fillId="4" borderId="19" xfId="0" applyNumberFormat="1" applyFill="1" applyBorder="1" applyAlignment="1" applyProtection="1">
      <alignment horizontal="right"/>
      <protection locked="0"/>
    </xf>
    <xf numFmtId="0" fontId="1" fillId="0" borderId="0" xfId="0" applyFont="1"/>
    <xf numFmtId="168" fontId="2" fillId="13" borderId="12" xfId="0" applyNumberFormat="1" applyFont="1" applyFill="1" applyBorder="1" applyAlignment="1">
      <alignment horizontal="right"/>
    </xf>
    <xf numFmtId="0" fontId="1" fillId="3" borderId="14" xfId="0" applyFont="1" applyFill="1" applyBorder="1"/>
    <xf numFmtId="0" fontId="2" fillId="6" borderId="25" xfId="0" applyFont="1" applyFill="1" applyBorder="1" applyAlignment="1">
      <alignment vertical="top"/>
    </xf>
    <xf numFmtId="0" fontId="2" fillId="6" borderId="13" xfId="0" applyFont="1" applyFill="1" applyBorder="1" applyAlignment="1">
      <alignment vertical="top"/>
    </xf>
    <xf numFmtId="0" fontId="2" fillId="6" borderId="13" xfId="0" applyFont="1" applyFill="1" applyBorder="1" applyAlignment="1">
      <alignment vertical="center"/>
    </xf>
    <xf numFmtId="0" fontId="1" fillId="3" borderId="3" xfId="0" applyFont="1" applyFill="1" applyBorder="1"/>
    <xf numFmtId="168" fontId="23" fillId="13" borderId="58" xfId="0" applyNumberFormat="1" applyFont="1" applyFill="1" applyBorder="1"/>
    <xf numFmtId="168" fontId="23" fillId="13" borderId="42" xfId="0" applyNumberFormat="1" applyFont="1" applyFill="1" applyBorder="1"/>
    <xf numFmtId="168" fontId="0" fillId="13" borderId="12" xfId="0" applyNumberFormat="1" applyFill="1" applyBorder="1"/>
    <xf numFmtId="4" fontId="9" fillId="13" borderId="6" xfId="0" applyNumberFormat="1" applyFont="1" applyFill="1" applyBorder="1"/>
    <xf numFmtId="4" fontId="9" fillId="13" borderId="25" xfId="0" applyNumberFormat="1" applyFont="1" applyFill="1" applyBorder="1"/>
    <xf numFmtId="0" fontId="2" fillId="3" borderId="25" xfId="0" applyFont="1" applyFill="1" applyBorder="1" applyAlignment="1">
      <alignment vertical="center" wrapText="1"/>
    </xf>
    <xf numFmtId="0" fontId="44" fillId="0" borderId="0" xfId="14" applyFont="1"/>
    <xf numFmtId="0" fontId="1" fillId="0" borderId="0" xfId="14"/>
    <xf numFmtId="0" fontId="8" fillId="9" borderId="1" xfId="14" applyFont="1" applyFill="1" applyBorder="1"/>
    <xf numFmtId="0" fontId="8" fillId="9" borderId="12" xfId="14" applyFont="1" applyFill="1" applyBorder="1"/>
    <xf numFmtId="0" fontId="8" fillId="9" borderId="7" xfId="14" applyFont="1" applyFill="1" applyBorder="1"/>
    <xf numFmtId="0" fontId="8" fillId="9" borderId="6" xfId="14" applyFont="1" applyFill="1" applyBorder="1"/>
    <xf numFmtId="0" fontId="2" fillId="9" borderId="1" xfId="14" applyFont="1" applyFill="1" applyBorder="1"/>
    <xf numFmtId="0" fontId="1" fillId="9" borderId="12" xfId="14" applyFill="1" applyBorder="1"/>
    <xf numFmtId="0" fontId="1" fillId="9" borderId="7" xfId="14" applyFill="1" applyBorder="1"/>
    <xf numFmtId="0" fontId="2" fillId="3" borderId="2" xfId="14" applyFont="1" applyFill="1" applyBorder="1"/>
    <xf numFmtId="0" fontId="2" fillId="3" borderId="13" xfId="14" applyFont="1" applyFill="1" applyBorder="1" applyAlignment="1">
      <alignment horizontal="center"/>
    </xf>
    <xf numFmtId="0" fontId="2" fillId="3" borderId="10" xfId="14" applyFont="1" applyFill="1" applyBorder="1" applyAlignment="1">
      <alignment horizontal="center"/>
    </xf>
    <xf numFmtId="0" fontId="2" fillId="3" borderId="0" xfId="14" applyFont="1" applyFill="1" applyAlignment="1">
      <alignment horizontal="center"/>
    </xf>
    <xf numFmtId="0" fontId="17" fillId="11" borderId="25" xfId="14" applyFont="1" applyFill="1" applyBorder="1" applyAlignment="1">
      <alignment horizontal="center"/>
    </xf>
    <xf numFmtId="0" fontId="18" fillId="9" borderId="25" xfId="14" applyFont="1" applyFill="1" applyBorder="1"/>
    <xf numFmtId="0" fontId="1" fillId="11" borderId="25" xfId="14" applyFill="1" applyBorder="1" applyAlignment="1">
      <alignment horizontal="center"/>
    </xf>
    <xf numFmtId="0" fontId="1" fillId="11" borderId="4" xfId="14" applyFill="1" applyBorder="1" applyAlignment="1">
      <alignment horizontal="center"/>
    </xf>
    <xf numFmtId="0" fontId="2" fillId="3" borderId="29" xfId="14" applyFont="1" applyFill="1" applyBorder="1"/>
    <xf numFmtId="0" fontId="2" fillId="3" borderId="69" xfId="14" applyFont="1" applyFill="1" applyBorder="1" applyAlignment="1">
      <alignment horizontal="center"/>
    </xf>
    <xf numFmtId="0" fontId="2" fillId="3" borderId="62" xfId="14" applyFont="1" applyFill="1" applyBorder="1" applyAlignment="1">
      <alignment horizontal="center"/>
    </xf>
    <xf numFmtId="0" fontId="2" fillId="3" borderId="45" xfId="14" applyFont="1" applyFill="1" applyBorder="1" applyAlignment="1">
      <alignment horizontal="center"/>
    </xf>
    <xf numFmtId="0" fontId="17" fillId="3" borderId="69" xfId="14" applyFont="1" applyFill="1" applyBorder="1" applyAlignment="1">
      <alignment horizontal="center"/>
    </xf>
    <xf numFmtId="0" fontId="1" fillId="11" borderId="25" xfId="14" applyFill="1" applyBorder="1"/>
    <xf numFmtId="0" fontId="1" fillId="15" borderId="52" xfId="14" applyFill="1" applyBorder="1"/>
    <xf numFmtId="3" fontId="23" fillId="13" borderId="45" xfId="14" applyNumberFormat="1" applyFont="1" applyFill="1" applyBorder="1"/>
    <xf numFmtId="9" fontId="23" fillId="13" borderId="69" xfId="14" applyNumberFormat="1" applyFont="1" applyFill="1" applyBorder="1"/>
    <xf numFmtId="0" fontId="1" fillId="11" borderId="13" xfId="14" applyFill="1" applyBorder="1"/>
    <xf numFmtId="0" fontId="1" fillId="15" borderId="53" xfId="14" applyFill="1" applyBorder="1"/>
    <xf numFmtId="0" fontId="1" fillId="15" borderId="61" xfId="14" applyFill="1" applyBorder="1"/>
    <xf numFmtId="0" fontId="51" fillId="11" borderId="1" xfId="14" applyFont="1" applyFill="1" applyBorder="1"/>
    <xf numFmtId="0" fontId="1" fillId="11" borderId="12" xfId="14" applyFill="1" applyBorder="1"/>
    <xf numFmtId="0" fontId="1" fillId="11" borderId="7" xfId="14" applyFill="1" applyBorder="1"/>
    <xf numFmtId="0" fontId="1" fillId="15" borderId="72" xfId="14" applyFill="1" applyBorder="1"/>
    <xf numFmtId="0" fontId="1" fillId="11" borderId="52" xfId="14" applyFill="1" applyBorder="1"/>
    <xf numFmtId="3" fontId="1" fillId="15" borderId="52" xfId="14" applyNumberFormat="1" applyFill="1" applyBorder="1"/>
    <xf numFmtId="0" fontId="1" fillId="11" borderId="53" xfId="14" applyFill="1" applyBorder="1"/>
    <xf numFmtId="3" fontId="1" fillId="15" borderId="53" xfId="14" applyNumberFormat="1" applyFill="1" applyBorder="1"/>
    <xf numFmtId="0" fontId="1" fillId="11" borderId="61" xfId="14" applyFill="1" applyBorder="1"/>
    <xf numFmtId="3" fontId="1" fillId="15" borderId="61" xfId="14" applyNumberFormat="1" applyFill="1" applyBorder="1"/>
    <xf numFmtId="3" fontId="23" fillId="13" borderId="0" xfId="14" applyNumberFormat="1" applyFont="1" applyFill="1"/>
    <xf numFmtId="9" fontId="23" fillId="13" borderId="13" xfId="14" applyNumberFormat="1" applyFont="1" applyFill="1" applyBorder="1"/>
    <xf numFmtId="0" fontId="18" fillId="9" borderId="1" xfId="14" applyFont="1" applyFill="1" applyBorder="1"/>
    <xf numFmtId="0" fontId="1" fillId="11" borderId="1" xfId="14" applyFill="1" applyBorder="1" applyAlignment="1">
      <alignment horizontal="center"/>
    </xf>
    <xf numFmtId="0" fontId="1" fillId="11" borderId="6" xfId="14" applyFill="1" applyBorder="1" applyAlignment="1">
      <alignment horizontal="center"/>
    </xf>
    <xf numFmtId="0" fontId="1" fillId="11" borderId="57" xfId="14" applyFill="1" applyBorder="1" applyAlignment="1">
      <alignment horizontal="center"/>
    </xf>
    <xf numFmtId="0" fontId="1" fillId="11" borderId="50" xfId="14" applyFill="1" applyBorder="1" applyAlignment="1">
      <alignment horizontal="center"/>
    </xf>
    <xf numFmtId="0" fontId="2" fillId="3" borderId="6" xfId="14" applyFont="1" applyFill="1" applyBorder="1"/>
    <xf numFmtId="3" fontId="1" fillId="13" borderId="8" xfId="14" applyNumberFormat="1" applyFill="1" applyBorder="1"/>
    <xf numFmtId="2" fontId="1" fillId="13" borderId="6" xfId="14" applyNumberFormat="1" applyFill="1" applyBorder="1"/>
    <xf numFmtId="3" fontId="2" fillId="13" borderId="1" xfId="14" applyNumberFormat="1" applyFont="1" applyFill="1" applyBorder="1" applyAlignment="1">
      <alignment horizontal="right"/>
    </xf>
    <xf numFmtId="9" fontId="23" fillId="13" borderId="6" xfId="14" applyNumberFormat="1" applyFont="1" applyFill="1" applyBorder="1"/>
    <xf numFmtId="3" fontId="1" fillId="15" borderId="64" xfId="14" applyNumberFormat="1" applyFill="1" applyBorder="1"/>
    <xf numFmtId="0" fontId="1" fillId="11" borderId="3" xfId="14" applyFill="1" applyBorder="1"/>
    <xf numFmtId="0" fontId="1" fillId="3" borderId="8" xfId="14" applyFill="1" applyBorder="1"/>
    <xf numFmtId="0" fontId="1" fillId="3" borderId="11" xfId="14" applyFill="1" applyBorder="1"/>
    <xf numFmtId="0" fontId="1" fillId="11" borderId="14" xfId="14" applyFill="1" applyBorder="1"/>
    <xf numFmtId="3" fontId="1" fillId="15" borderId="72" xfId="14" applyNumberFormat="1" applyFill="1" applyBorder="1"/>
    <xf numFmtId="0" fontId="45" fillId="3" borderId="3" xfId="14" applyFont="1" applyFill="1" applyBorder="1"/>
    <xf numFmtId="0" fontId="1" fillId="3" borderId="4" xfId="14" applyFill="1" applyBorder="1"/>
    <xf numFmtId="3" fontId="2" fillId="13" borderId="3" xfId="14" applyNumberFormat="1" applyFont="1" applyFill="1" applyBorder="1" applyAlignment="1">
      <alignment horizontal="right"/>
    </xf>
    <xf numFmtId="9" fontId="23" fillId="13" borderId="25" xfId="14" applyNumberFormat="1" applyFont="1" applyFill="1" applyBorder="1"/>
    <xf numFmtId="0" fontId="45" fillId="11" borderId="6" xfId="14" applyFont="1" applyFill="1" applyBorder="1"/>
    <xf numFmtId="2" fontId="2" fillId="3" borderId="1" xfId="14" applyNumberFormat="1" applyFont="1" applyFill="1" applyBorder="1"/>
    <xf numFmtId="0" fontId="1" fillId="3" borderId="12" xfId="14" applyFill="1" applyBorder="1"/>
    <xf numFmtId="0" fontId="23" fillId="3" borderId="7" xfId="14" applyFont="1" applyFill="1" applyBorder="1" applyAlignment="1">
      <alignment horizontal="center"/>
    </xf>
    <xf numFmtId="0" fontId="1" fillId="11" borderId="6" xfId="14" applyFill="1" applyBorder="1"/>
    <xf numFmtId="165" fontId="1" fillId="15" borderId="64" xfId="14" applyNumberFormat="1" applyFill="1" applyBorder="1"/>
    <xf numFmtId="0" fontId="2" fillId="3" borderId="14" xfId="14" applyFont="1" applyFill="1" applyBorder="1"/>
    <xf numFmtId="0" fontId="1" fillId="3" borderId="13" xfId="14" applyFill="1" applyBorder="1" applyAlignment="1">
      <alignment horizontal="center"/>
    </xf>
    <xf numFmtId="0" fontId="1" fillId="3" borderId="10" xfId="14" applyFill="1" applyBorder="1" applyAlignment="1">
      <alignment horizontal="center"/>
    </xf>
    <xf numFmtId="0" fontId="1" fillId="3" borderId="2" xfId="14" applyFill="1" applyBorder="1" applyAlignment="1">
      <alignment horizontal="center"/>
    </xf>
    <xf numFmtId="0" fontId="23" fillId="3" borderId="69" xfId="14" applyFont="1" applyFill="1" applyBorder="1" applyAlignment="1">
      <alignment horizontal="center"/>
    </xf>
    <xf numFmtId="3" fontId="23" fillId="15" borderId="48" xfId="14" applyNumberFormat="1" applyFont="1" applyFill="1" applyBorder="1"/>
    <xf numFmtId="9" fontId="23" fillId="13" borderId="53" xfId="14" applyNumberFormat="1" applyFont="1" applyFill="1" applyBorder="1"/>
    <xf numFmtId="165" fontId="1" fillId="15" borderId="72" xfId="14" applyNumberFormat="1" applyFill="1" applyBorder="1"/>
    <xf numFmtId="165" fontId="23" fillId="15" borderId="53" xfId="14" applyNumberFormat="1" applyFont="1" applyFill="1" applyBorder="1"/>
    <xf numFmtId="3" fontId="23" fillId="15" borderId="46" xfId="14" applyNumberFormat="1" applyFont="1" applyFill="1" applyBorder="1"/>
    <xf numFmtId="165" fontId="23" fillId="15" borderId="70" xfId="14" applyNumberFormat="1" applyFont="1" applyFill="1" applyBorder="1"/>
    <xf numFmtId="3" fontId="23" fillId="15" borderId="47" xfId="14" applyNumberFormat="1" applyFont="1" applyFill="1" applyBorder="1"/>
    <xf numFmtId="9" fontId="23" fillId="13" borderId="70" xfId="14" applyNumberFormat="1" applyFont="1" applyFill="1" applyBorder="1"/>
    <xf numFmtId="0" fontId="2" fillId="3" borderId="3" xfId="14" applyFont="1" applyFill="1" applyBorder="1" applyAlignment="1">
      <alignment horizontal="left"/>
    </xf>
    <xf numFmtId="3" fontId="23" fillId="11" borderId="8" xfId="14" applyNumberFormat="1" applyFont="1" applyFill="1" applyBorder="1"/>
    <xf numFmtId="0" fontId="23" fillId="11" borderId="8" xfId="14" applyFont="1" applyFill="1" applyBorder="1"/>
    <xf numFmtId="3" fontId="23" fillId="11" borderId="12" xfId="14" applyNumberFormat="1" applyFont="1" applyFill="1" applyBorder="1"/>
    <xf numFmtId="0" fontId="23" fillId="11" borderId="4" xfId="14" applyFont="1" applyFill="1" applyBorder="1"/>
    <xf numFmtId="3" fontId="23" fillId="11" borderId="0" xfId="14" applyNumberFormat="1" applyFont="1" applyFill="1"/>
    <xf numFmtId="0" fontId="23" fillId="11" borderId="10" xfId="14" applyFont="1" applyFill="1" applyBorder="1"/>
    <xf numFmtId="0" fontId="45" fillId="3" borderId="1" xfId="14" applyFont="1" applyFill="1" applyBorder="1" applyAlignment="1">
      <alignment horizontal="left"/>
    </xf>
    <xf numFmtId="0" fontId="23" fillId="11" borderId="12" xfId="14" applyFont="1" applyFill="1" applyBorder="1"/>
    <xf numFmtId="0" fontId="23" fillId="3" borderId="7" xfId="14" applyFont="1" applyFill="1" applyBorder="1"/>
    <xf numFmtId="3" fontId="17" fillId="13" borderId="8" xfId="14" applyNumberFormat="1" applyFont="1" applyFill="1" applyBorder="1" applyAlignment="1">
      <alignment horizontal="right"/>
    </xf>
    <xf numFmtId="0" fontId="1" fillId="3" borderId="2" xfId="14" applyFill="1" applyBorder="1" applyAlignment="1">
      <alignment horizontal="left"/>
    </xf>
    <xf numFmtId="0" fontId="23" fillId="11" borderId="0" xfId="14" applyFont="1" applyFill="1"/>
    <xf numFmtId="0" fontId="1" fillId="11" borderId="10" xfId="14" applyFill="1" applyBorder="1"/>
    <xf numFmtId="0" fontId="45" fillId="3" borderId="3" xfId="14" applyFont="1" applyFill="1" applyBorder="1" applyAlignment="1">
      <alignment horizontal="left"/>
    </xf>
    <xf numFmtId="0" fontId="23" fillId="3" borderId="4" xfId="14" applyFont="1" applyFill="1" applyBorder="1"/>
    <xf numFmtId="3" fontId="17" fillId="13" borderId="9" xfId="14" applyNumberFormat="1" applyFont="1" applyFill="1" applyBorder="1" applyAlignment="1">
      <alignment horizontal="right"/>
    </xf>
    <xf numFmtId="168" fontId="2" fillId="13" borderId="12" xfId="14" applyNumberFormat="1" applyFont="1" applyFill="1" applyBorder="1" applyAlignment="1">
      <alignment horizontal="right"/>
    </xf>
    <xf numFmtId="3" fontId="23" fillId="11" borderId="4" xfId="14" applyNumberFormat="1" applyFont="1" applyFill="1" applyBorder="1"/>
    <xf numFmtId="3" fontId="23" fillId="11" borderId="10" xfId="14" applyNumberFormat="1" applyFont="1" applyFill="1" applyBorder="1"/>
    <xf numFmtId="0" fontId="45" fillId="11" borderId="3" xfId="14" applyFont="1" applyFill="1" applyBorder="1" applyAlignment="1">
      <alignment horizontal="left"/>
    </xf>
    <xf numFmtId="3" fontId="17" fillId="13" borderId="12" xfId="14" applyNumberFormat="1" applyFont="1" applyFill="1" applyBorder="1" applyAlignment="1">
      <alignment horizontal="right"/>
    </xf>
    <xf numFmtId="0" fontId="2" fillId="3" borderId="1" xfId="14" applyFont="1" applyFill="1" applyBorder="1" applyAlignment="1">
      <alignment horizontal="left"/>
    </xf>
    <xf numFmtId="0" fontId="23" fillId="3" borderId="12" xfId="14" applyFont="1" applyFill="1" applyBorder="1"/>
    <xf numFmtId="9" fontId="17" fillId="13" borderId="6" xfId="14" applyNumberFormat="1" applyFont="1" applyFill="1" applyBorder="1"/>
    <xf numFmtId="0" fontId="45" fillId="9" borderId="3" xfId="14" applyFont="1" applyFill="1" applyBorder="1"/>
    <xf numFmtId="0" fontId="1" fillId="9" borderId="8" xfId="14" applyFill="1" applyBorder="1"/>
    <xf numFmtId="0" fontId="1" fillId="9" borderId="4" xfId="14" applyFill="1" applyBorder="1"/>
    <xf numFmtId="0" fontId="2" fillId="11" borderId="3" xfId="14" applyFont="1" applyFill="1" applyBorder="1"/>
    <xf numFmtId="0" fontId="2" fillId="11" borderId="8" xfId="14" applyFont="1" applyFill="1" applyBorder="1"/>
    <xf numFmtId="0" fontId="2" fillId="11" borderId="4" xfId="14" applyFont="1" applyFill="1" applyBorder="1"/>
    <xf numFmtId="0" fontId="2" fillId="11" borderId="1" xfId="14" applyFont="1" applyFill="1" applyBorder="1"/>
    <xf numFmtId="0" fontId="2" fillId="11" borderId="12" xfId="14" applyFont="1" applyFill="1" applyBorder="1"/>
    <xf numFmtId="0" fontId="2" fillId="11" borderId="7" xfId="14" applyFont="1" applyFill="1" applyBorder="1"/>
    <xf numFmtId="3" fontId="2" fillId="15" borderId="7" xfId="14" applyNumberFormat="1" applyFont="1" applyFill="1" applyBorder="1"/>
    <xf numFmtId="0" fontId="2" fillId="11" borderId="5" xfId="14" applyFont="1" applyFill="1" applyBorder="1" applyAlignment="1">
      <alignment horizontal="left"/>
    </xf>
    <xf numFmtId="0" fontId="23" fillId="3" borderId="9" xfId="14" applyFont="1" applyFill="1" applyBorder="1"/>
    <xf numFmtId="0" fontId="23" fillId="3" borderId="11" xfId="14" applyFont="1" applyFill="1" applyBorder="1"/>
    <xf numFmtId="0" fontId="45" fillId="3" borderId="5" xfId="14" applyFont="1" applyFill="1" applyBorder="1" applyAlignment="1">
      <alignment horizontal="left"/>
    </xf>
    <xf numFmtId="0" fontId="18" fillId="3" borderId="1" xfId="14" applyFont="1" applyFill="1" applyBorder="1" applyAlignment="1">
      <alignment horizontal="left"/>
    </xf>
    <xf numFmtId="0" fontId="45" fillId="9" borderId="1" xfId="14" applyFont="1" applyFill="1" applyBorder="1"/>
    <xf numFmtId="0" fontId="1" fillId="11" borderId="63" xfId="14" applyFill="1" applyBorder="1"/>
    <xf numFmtId="0" fontId="1" fillId="11" borderId="74" xfId="14" applyFill="1" applyBorder="1"/>
    <xf numFmtId="1" fontId="1" fillId="15" borderId="70" xfId="14" applyNumberFormat="1" applyFill="1" applyBorder="1"/>
    <xf numFmtId="0" fontId="1" fillId="11" borderId="1" xfId="14" applyFill="1" applyBorder="1"/>
    <xf numFmtId="3" fontId="1" fillId="15" borderId="6" xfId="14" applyNumberFormat="1" applyFill="1" applyBorder="1"/>
    <xf numFmtId="1" fontId="2" fillId="15" borderId="6" xfId="14" applyNumberFormat="1" applyFont="1" applyFill="1" applyBorder="1"/>
    <xf numFmtId="0" fontId="2" fillId="3" borderId="25" xfId="0" applyFont="1" applyFill="1" applyBorder="1" applyAlignment="1">
      <alignment vertical="top" wrapText="1"/>
    </xf>
    <xf numFmtId="0" fontId="2" fillId="3" borderId="14" xfId="0" applyFont="1" applyFill="1" applyBorder="1" applyAlignment="1">
      <alignment vertical="top" wrapText="1"/>
    </xf>
    <xf numFmtId="3" fontId="0" fillId="3" borderId="57" xfId="0" applyNumberFormat="1" applyFill="1" applyBorder="1" applyAlignment="1">
      <alignment horizontal="center"/>
    </xf>
    <xf numFmtId="3" fontId="0" fillId="3" borderId="51" xfId="0" applyNumberFormat="1" applyFill="1" applyBorder="1" applyAlignment="1">
      <alignment horizontal="center"/>
    </xf>
    <xf numFmtId="3" fontId="0" fillId="3" borderId="12" xfId="0" applyNumberFormat="1" applyFill="1" applyBorder="1" applyAlignment="1">
      <alignment horizontal="center"/>
    </xf>
    <xf numFmtId="0" fontId="1" fillId="11" borderId="25" xfId="0" applyFont="1" applyFill="1" applyBorder="1"/>
    <xf numFmtId="0" fontId="1" fillId="11" borderId="6" xfId="0" applyFont="1" applyFill="1" applyBorder="1"/>
    <xf numFmtId="0" fontId="1" fillId="6" borderId="5" xfId="0" applyFont="1" applyFill="1" applyBorder="1"/>
    <xf numFmtId="0" fontId="1" fillId="3" borderId="11" xfId="0" applyFont="1" applyFill="1" applyBorder="1" applyAlignment="1">
      <alignment horizontal="left" wrapText="1"/>
    </xf>
    <xf numFmtId="0" fontId="1" fillId="3" borderId="4" xfId="0" applyFont="1" applyFill="1" applyBorder="1" applyAlignment="1">
      <alignment horizontal="left" wrapText="1"/>
    </xf>
    <xf numFmtId="0" fontId="1" fillId="3" borderId="2" xfId="0" applyFont="1" applyFill="1" applyBorder="1" applyAlignment="1">
      <alignment horizontal="left" wrapText="1"/>
    </xf>
    <xf numFmtId="0" fontId="1" fillId="3" borderId="10" xfId="0" applyFont="1" applyFill="1" applyBorder="1" applyAlignment="1">
      <alignment horizontal="left" wrapText="1"/>
    </xf>
    <xf numFmtId="0" fontId="1" fillId="3" borderId="5" xfId="0" applyFont="1" applyFill="1" applyBorder="1" applyAlignment="1">
      <alignment horizontal="left" wrapText="1"/>
    </xf>
    <xf numFmtId="0" fontId="1" fillId="3" borderId="3" xfId="0" applyFont="1" applyFill="1" applyBorder="1" applyAlignment="1">
      <alignment horizontal="left" vertical="top" wrapText="1"/>
    </xf>
    <xf numFmtId="2" fontId="0" fillId="13" borderId="7" xfId="0" applyNumberFormat="1" applyFill="1" applyBorder="1"/>
    <xf numFmtId="166" fontId="0" fillId="13" borderId="13" xfId="0" applyNumberFormat="1" applyFill="1" applyBorder="1" applyAlignment="1">
      <alignment horizontal="center" vertical="top"/>
    </xf>
    <xf numFmtId="0" fontId="1" fillId="3" borderId="1" xfId="0" applyFont="1" applyFill="1" applyBorder="1" applyAlignment="1">
      <alignment horizontal="left" wrapText="1"/>
    </xf>
    <xf numFmtId="0" fontId="1" fillId="3" borderId="7" xfId="0" applyFont="1" applyFill="1" applyBorder="1" applyAlignment="1">
      <alignment horizontal="left" wrapText="1"/>
    </xf>
    <xf numFmtId="0" fontId="1" fillId="3" borderId="12" xfId="0" applyFont="1" applyFill="1" applyBorder="1" applyAlignment="1">
      <alignment horizontal="left" wrapText="1"/>
    </xf>
    <xf numFmtId="49" fontId="16" fillId="0" borderId="0" xfId="0" applyNumberFormat="1" applyFont="1" applyAlignment="1">
      <alignment horizontal="left" wrapText="1"/>
    </xf>
    <xf numFmtId="0" fontId="1" fillId="3" borderId="4" xfId="0" applyFont="1" applyFill="1" applyBorder="1" applyAlignment="1">
      <alignment horizontal="right"/>
    </xf>
    <xf numFmtId="0" fontId="1" fillId="3" borderId="10" xfId="0" applyFont="1" applyFill="1" applyBorder="1" applyAlignment="1">
      <alignment horizontal="right"/>
    </xf>
    <xf numFmtId="166" fontId="0" fillId="13" borderId="6" xfId="0" applyNumberFormat="1" applyFill="1" applyBorder="1" applyAlignment="1">
      <alignment horizontal="center" vertical="top"/>
    </xf>
    <xf numFmtId="0" fontId="1" fillId="3" borderId="4" xfId="0" applyFont="1" applyFill="1" applyBorder="1" applyAlignment="1">
      <alignment horizontal="right" vertical="top" wrapText="1"/>
    </xf>
    <xf numFmtId="0" fontId="1" fillId="3" borderId="5" xfId="0" applyFont="1" applyFill="1" applyBorder="1" applyAlignment="1">
      <alignment wrapText="1"/>
    </xf>
    <xf numFmtId="0" fontId="1" fillId="3" borderId="11" xfId="0" applyFont="1" applyFill="1" applyBorder="1" applyAlignment="1">
      <alignment wrapText="1"/>
    </xf>
    <xf numFmtId="3" fontId="9" fillId="3" borderId="10" xfId="0" applyNumberFormat="1" applyFont="1" applyFill="1" applyBorder="1" applyAlignment="1">
      <alignment horizontal="right"/>
    </xf>
    <xf numFmtId="0" fontId="48" fillId="3" borderId="2" xfId="0" applyFont="1" applyFill="1" applyBorder="1" applyAlignment="1">
      <alignment horizontal="right"/>
    </xf>
    <xf numFmtId="0" fontId="48" fillId="3" borderId="5" xfId="0" applyFont="1" applyFill="1" applyBorder="1" applyAlignment="1">
      <alignment horizontal="right"/>
    </xf>
    <xf numFmtId="1" fontId="10" fillId="13" borderId="4" xfId="0" applyNumberFormat="1" applyFont="1" applyFill="1" applyBorder="1" applyAlignment="1">
      <alignment horizontal="center"/>
    </xf>
    <xf numFmtId="0" fontId="1" fillId="3" borderId="3" xfId="0" applyFont="1" applyFill="1" applyBorder="1" applyAlignment="1">
      <alignment horizontal="left" wrapText="1"/>
    </xf>
    <xf numFmtId="10" fontId="9" fillId="13" borderId="64" xfId="0" applyNumberFormat="1" applyFont="1" applyFill="1" applyBorder="1"/>
    <xf numFmtId="10" fontId="9" fillId="13" borderId="71" xfId="0" applyNumberFormat="1" applyFont="1" applyFill="1" applyBorder="1"/>
    <xf numFmtId="10" fontId="9" fillId="13" borderId="78" xfId="0" applyNumberFormat="1" applyFont="1" applyFill="1" applyBorder="1"/>
    <xf numFmtId="168" fontId="0" fillId="11" borderId="3" xfId="0" applyNumberFormat="1" applyFill="1" applyBorder="1"/>
    <xf numFmtId="0" fontId="9" fillId="3" borderId="80" xfId="0" applyFont="1" applyFill="1" applyBorder="1"/>
    <xf numFmtId="0" fontId="9" fillId="3" borderId="30" xfId="0" applyFont="1" applyFill="1" applyBorder="1"/>
    <xf numFmtId="0" fontId="9" fillId="3" borderId="32" xfId="0" applyFont="1" applyFill="1" applyBorder="1"/>
    <xf numFmtId="0" fontId="9" fillId="3" borderId="31" xfId="0" applyFont="1" applyFill="1" applyBorder="1"/>
    <xf numFmtId="10" fontId="9" fillId="13" borderId="36" xfId="0" applyNumberFormat="1" applyFont="1" applyFill="1" applyBorder="1"/>
    <xf numFmtId="10" fontId="9" fillId="13" borderId="66" xfId="0" applyNumberFormat="1" applyFont="1" applyFill="1" applyBorder="1"/>
    <xf numFmtId="10" fontId="9" fillId="13" borderId="37" xfId="0" applyNumberFormat="1" applyFont="1" applyFill="1" applyBorder="1"/>
    <xf numFmtId="10" fontId="9" fillId="13" borderId="77" xfId="0" applyNumberFormat="1" applyFont="1" applyFill="1" applyBorder="1"/>
    <xf numFmtId="10" fontId="9" fillId="13" borderId="6" xfId="0" applyNumberFormat="1" applyFont="1" applyFill="1" applyBorder="1"/>
    <xf numFmtId="1" fontId="48" fillId="3" borderId="6" xfId="0" applyNumberFormat="1" applyFont="1" applyFill="1" applyBorder="1" applyAlignment="1">
      <alignment horizontal="center"/>
    </xf>
    <xf numFmtId="0" fontId="1" fillId="6" borderId="12" xfId="0" applyFont="1" applyFill="1" applyBorder="1"/>
    <xf numFmtId="165" fontId="0" fillId="13" borderId="1" xfId="0" applyNumberFormat="1" applyFill="1" applyBorder="1"/>
    <xf numFmtId="165" fontId="2" fillId="13" borderId="6" xfId="0" applyNumberFormat="1" applyFont="1" applyFill="1" applyBorder="1"/>
    <xf numFmtId="2" fontId="1" fillId="0" borderId="0" xfId="14" applyNumberFormat="1"/>
    <xf numFmtId="0" fontId="23" fillId="0" borderId="0" xfId="14" applyFont="1"/>
    <xf numFmtId="0" fontId="1" fillId="0" borderId="0" xfId="14" applyAlignment="1">
      <alignment horizontal="left"/>
    </xf>
    <xf numFmtId="168" fontId="1" fillId="0" borderId="0" xfId="14" applyNumberFormat="1"/>
    <xf numFmtId="165" fontId="9" fillId="13" borderId="6" xfId="0" applyNumberFormat="1" applyFont="1" applyFill="1" applyBorder="1"/>
    <xf numFmtId="165" fontId="9" fillId="13" borderId="52" xfId="0" applyNumberFormat="1" applyFont="1" applyFill="1" applyBorder="1"/>
    <xf numFmtId="165" fontId="9" fillId="13" borderId="61" xfId="0" applyNumberFormat="1" applyFont="1" applyFill="1" applyBorder="1"/>
    <xf numFmtId="165" fontId="9" fillId="13" borderId="53" xfId="0" applyNumberFormat="1" applyFont="1" applyFill="1" applyBorder="1"/>
    <xf numFmtId="165" fontId="9" fillId="13" borderId="63" xfId="0" applyNumberFormat="1" applyFont="1" applyFill="1" applyBorder="1"/>
    <xf numFmtId="165" fontId="9" fillId="13" borderId="73" xfId="0" applyNumberFormat="1" applyFont="1" applyFill="1" applyBorder="1"/>
    <xf numFmtId="165" fontId="9" fillId="13" borderId="75" xfId="0" applyNumberFormat="1" applyFont="1" applyFill="1" applyBorder="1"/>
    <xf numFmtId="0" fontId="48" fillId="11" borderId="2" xfId="14" applyFont="1" applyFill="1" applyBorder="1" applyAlignment="1">
      <alignment horizontal="left"/>
    </xf>
    <xf numFmtId="0" fontId="48" fillId="3" borderId="5" xfId="14" applyFont="1" applyFill="1" applyBorder="1" applyAlignment="1">
      <alignment horizontal="left"/>
    </xf>
    <xf numFmtId="0" fontId="1" fillId="3" borderId="2" xfId="14" applyFill="1" applyBorder="1"/>
    <xf numFmtId="0" fontId="1" fillId="11" borderId="2" xfId="14" applyFill="1" applyBorder="1" applyAlignment="1">
      <alignment horizontal="left"/>
    </xf>
    <xf numFmtId="0" fontId="1" fillId="11" borderId="3" xfId="14" applyFill="1" applyBorder="1" applyAlignment="1">
      <alignment horizontal="left"/>
    </xf>
    <xf numFmtId="0" fontId="45" fillId="6" borderId="25" xfId="0" applyFont="1" applyFill="1" applyBorder="1"/>
    <xf numFmtId="0" fontId="1" fillId="3" borderId="4" xfId="0" applyFont="1" applyFill="1" applyBorder="1" applyAlignment="1">
      <alignment horizontal="center"/>
    </xf>
    <xf numFmtId="0" fontId="54" fillId="0" borderId="0" xfId="0" applyFont="1"/>
    <xf numFmtId="0" fontId="58" fillId="0" borderId="0" xfId="0" applyFont="1" applyAlignment="1">
      <alignment vertical="center"/>
    </xf>
    <xf numFmtId="0" fontId="1" fillId="3" borderId="6" xfId="0" applyFont="1" applyFill="1" applyBorder="1"/>
    <xf numFmtId="0" fontId="1" fillId="3" borderId="2" xfId="0" applyFont="1" applyFill="1" applyBorder="1" applyAlignment="1">
      <alignment horizontal="left"/>
    </xf>
    <xf numFmtId="0" fontId="1" fillId="3" borderId="5" xfId="0" applyFont="1" applyFill="1" applyBorder="1" applyAlignment="1">
      <alignment horizontal="left"/>
    </xf>
    <xf numFmtId="0" fontId="1" fillId="3" borderId="63" xfId="0" applyFont="1" applyFill="1" applyBorder="1" applyAlignment="1">
      <alignment horizontal="left"/>
    </xf>
    <xf numFmtId="0" fontId="59" fillId="0" borderId="0" xfId="4" applyFont="1" applyAlignment="1">
      <alignment horizontal="left" vertical="center"/>
    </xf>
    <xf numFmtId="0" fontId="2" fillId="3" borderId="52" xfId="0" applyFont="1" applyFill="1" applyBorder="1"/>
    <xf numFmtId="0" fontId="2" fillId="3" borderId="53" xfId="0" applyFont="1" applyFill="1" applyBorder="1"/>
    <xf numFmtId="0" fontId="9" fillId="8" borderId="17" xfId="6" applyFill="1" applyBorder="1" applyProtection="1">
      <protection locked="0"/>
    </xf>
    <xf numFmtId="3" fontId="23" fillId="4" borderId="69" xfId="14" applyNumberFormat="1" applyFont="1" applyFill="1" applyBorder="1" applyProtection="1">
      <protection locked="0"/>
    </xf>
    <xf numFmtId="2" fontId="23" fillId="8" borderId="62" xfId="14" applyNumberFormat="1" applyFont="1" applyFill="1" applyBorder="1" applyProtection="1">
      <protection locked="0"/>
    </xf>
    <xf numFmtId="3" fontId="1" fillId="4" borderId="5" xfId="14" applyNumberFormat="1" applyFill="1" applyBorder="1" applyAlignment="1" applyProtection="1">
      <alignment horizontal="right"/>
      <protection locked="0"/>
    </xf>
    <xf numFmtId="3" fontId="23" fillId="8" borderId="63" xfId="14" applyNumberFormat="1" applyFont="1" applyFill="1" applyBorder="1" applyProtection="1">
      <protection locked="0"/>
    </xf>
    <xf numFmtId="3" fontId="23" fillId="8" borderId="73" xfId="14" applyNumberFormat="1" applyFont="1" applyFill="1" applyBorder="1" applyProtection="1">
      <protection locked="0"/>
    </xf>
    <xf numFmtId="3" fontId="23" fillId="8" borderId="74" xfId="14" applyNumberFormat="1" applyFont="1" applyFill="1" applyBorder="1" applyProtection="1">
      <protection locked="0"/>
    </xf>
    <xf numFmtId="165" fontId="23" fillId="8" borderId="52" xfId="14" applyNumberFormat="1" applyFont="1" applyFill="1" applyBorder="1" applyProtection="1">
      <protection locked="0"/>
    </xf>
    <xf numFmtId="3" fontId="23" fillId="8" borderId="45" xfId="14" applyNumberFormat="1" applyFont="1" applyFill="1" applyBorder="1" applyProtection="1">
      <protection locked="0"/>
    </xf>
    <xf numFmtId="3" fontId="23" fillId="8" borderId="60" xfId="14" applyNumberFormat="1" applyFont="1" applyFill="1" applyBorder="1" applyProtection="1">
      <protection locked="0"/>
    </xf>
    <xf numFmtId="3" fontId="23" fillId="8" borderId="48" xfId="14" applyNumberFormat="1" applyFont="1" applyFill="1" applyBorder="1" applyProtection="1">
      <protection locked="0"/>
    </xf>
    <xf numFmtId="3" fontId="23" fillId="8" borderId="46" xfId="14" applyNumberFormat="1" applyFont="1" applyFill="1" applyBorder="1" applyProtection="1">
      <protection locked="0"/>
    </xf>
    <xf numFmtId="0" fontId="1" fillId="8" borderId="52" xfId="14" applyFill="1" applyBorder="1" applyProtection="1">
      <protection locked="0"/>
    </xf>
    <xf numFmtId="0" fontId="1" fillId="8" borderId="73" xfId="14" applyFill="1" applyBorder="1" applyProtection="1">
      <protection locked="0"/>
    </xf>
    <xf numFmtId="0" fontId="1" fillId="8" borderId="53" xfId="14" applyFill="1" applyBorder="1" applyProtection="1">
      <protection locked="0"/>
    </xf>
    <xf numFmtId="0" fontId="1" fillId="8" borderId="74" xfId="14" applyFill="1" applyBorder="1" applyProtection="1">
      <protection locked="0"/>
    </xf>
    <xf numFmtId="0" fontId="1" fillId="8" borderId="70" xfId="14" applyFill="1" applyBorder="1" applyProtection="1">
      <protection locked="0"/>
    </xf>
    <xf numFmtId="0" fontId="1" fillId="8" borderId="76" xfId="14" applyFill="1" applyBorder="1" applyProtection="1">
      <protection locked="0"/>
    </xf>
    <xf numFmtId="0" fontId="1" fillId="8" borderId="55" xfId="14" applyFill="1" applyBorder="1" applyProtection="1">
      <protection locked="0"/>
    </xf>
    <xf numFmtId="0" fontId="1" fillId="8" borderId="68" xfId="14" applyFill="1" applyBorder="1" applyProtection="1">
      <protection locked="0"/>
    </xf>
    <xf numFmtId="0" fontId="1" fillId="8" borderId="45" xfId="14" applyFill="1" applyBorder="1" applyProtection="1">
      <protection locked="0"/>
    </xf>
    <xf numFmtId="0" fontId="1" fillId="8" borderId="69" xfId="14" applyFill="1" applyBorder="1" applyProtection="1">
      <protection locked="0"/>
    </xf>
    <xf numFmtId="166" fontId="1" fillId="8" borderId="52" xfId="14" applyNumberFormat="1" applyFill="1" applyBorder="1" applyProtection="1">
      <protection locked="0"/>
    </xf>
    <xf numFmtId="0" fontId="1" fillId="8" borderId="60" xfId="14" applyFill="1" applyBorder="1" applyProtection="1">
      <protection locked="0"/>
    </xf>
    <xf numFmtId="0" fontId="1" fillId="8" borderId="61" xfId="14" applyFill="1" applyBorder="1" applyProtection="1">
      <protection locked="0"/>
    </xf>
    <xf numFmtId="166" fontId="1" fillId="8" borderId="61" xfId="14" applyNumberFormat="1" applyFill="1" applyBorder="1" applyProtection="1">
      <protection locked="0"/>
    </xf>
    <xf numFmtId="2" fontId="0" fillId="4" borderId="25" xfId="0" applyNumberFormat="1" applyFill="1" applyBorder="1" applyProtection="1">
      <protection locked="0"/>
    </xf>
    <xf numFmtId="9" fontId="1" fillId="8" borderId="6" xfId="14" applyNumberFormat="1" applyFill="1" applyBorder="1" applyProtection="1">
      <protection locked="0"/>
    </xf>
    <xf numFmtId="0" fontId="8" fillId="8" borderId="1" xfId="0" applyFont="1" applyFill="1" applyBorder="1" applyProtection="1">
      <protection locked="0"/>
    </xf>
    <xf numFmtId="0" fontId="2" fillId="4" borderId="6" xfId="0" applyFont="1" applyFill="1" applyBorder="1" applyProtection="1">
      <protection locked="0"/>
    </xf>
    <xf numFmtId="16" fontId="2" fillId="4" borderId="6" xfId="0" applyNumberFormat="1" applyFont="1" applyFill="1" applyBorder="1" applyProtection="1">
      <protection locked="0"/>
    </xf>
    <xf numFmtId="166" fontId="2" fillId="4" borderId="6" xfId="0" applyNumberFormat="1" applyFont="1" applyFill="1" applyBorder="1" applyProtection="1">
      <protection locked="0"/>
    </xf>
    <xf numFmtId="165" fontId="2" fillId="4" borderId="13" xfId="0" applyNumberFormat="1" applyFont="1" applyFill="1" applyBorder="1" applyProtection="1">
      <protection locked="0"/>
    </xf>
    <xf numFmtId="166" fontId="2" fillId="4" borderId="6" xfId="0" applyNumberFormat="1" applyFont="1" applyFill="1" applyBorder="1" applyAlignment="1" applyProtection="1">
      <alignment horizontal="right"/>
      <protection locked="0"/>
    </xf>
    <xf numFmtId="1" fontId="2" fillId="4" borderId="6" xfId="0" applyNumberFormat="1" applyFont="1" applyFill="1" applyBorder="1" applyAlignment="1" applyProtection="1">
      <alignment horizontal="right"/>
      <protection locked="0"/>
    </xf>
    <xf numFmtId="166" fontId="2" fillId="4" borderId="9" xfId="0" applyNumberFormat="1" applyFont="1" applyFill="1" applyBorder="1" applyProtection="1">
      <protection locked="0"/>
    </xf>
    <xf numFmtId="3" fontId="2" fillId="4" borderId="5" xfId="0" applyNumberFormat="1" applyFont="1" applyFill="1" applyBorder="1" applyProtection="1">
      <protection locked="0"/>
    </xf>
    <xf numFmtId="165" fontId="2" fillId="4" borderId="1" xfId="0" applyNumberFormat="1" applyFont="1" applyFill="1" applyBorder="1" applyProtection="1">
      <protection locked="0"/>
    </xf>
    <xf numFmtId="0" fontId="2" fillId="4" borderId="7" xfId="0" applyFont="1" applyFill="1" applyBorder="1" applyProtection="1">
      <protection locked="0"/>
    </xf>
    <xf numFmtId="16" fontId="2" fillId="4" borderId="14" xfId="0" applyNumberFormat="1" applyFont="1" applyFill="1" applyBorder="1" applyProtection="1">
      <protection locked="0"/>
    </xf>
    <xf numFmtId="3" fontId="2" fillId="4" borderId="6" xfId="1" applyNumberFormat="1" applyFont="1" applyFill="1" applyBorder="1" applyAlignment="1" applyProtection="1">
      <alignment horizontal="right"/>
      <protection locked="0"/>
    </xf>
    <xf numFmtId="0" fontId="8" fillId="8" borderId="6" xfId="0" applyFont="1" applyFill="1" applyBorder="1" applyProtection="1">
      <protection locked="0"/>
    </xf>
    <xf numFmtId="1" fontId="2" fillId="8" borderId="6" xfId="0" applyNumberFormat="1" applyFont="1" applyFill="1" applyBorder="1" applyProtection="1">
      <protection locked="0"/>
    </xf>
    <xf numFmtId="3" fontId="9" fillId="4" borderId="33" xfId="0" applyNumberFormat="1" applyFont="1" applyFill="1" applyBorder="1" applyProtection="1">
      <protection locked="0"/>
    </xf>
    <xf numFmtId="3" fontId="9" fillId="4" borderId="34" xfId="0" applyNumberFormat="1" applyFont="1" applyFill="1" applyBorder="1" applyProtection="1">
      <protection locked="0"/>
    </xf>
    <xf numFmtId="3" fontId="9" fillId="4" borderId="35" xfId="0" applyNumberFormat="1" applyFont="1" applyFill="1" applyBorder="1" applyProtection="1">
      <protection locked="0"/>
    </xf>
    <xf numFmtId="3" fontId="9" fillId="4" borderId="22" xfId="0" applyNumberFormat="1" applyFont="1" applyFill="1" applyBorder="1" applyProtection="1">
      <protection locked="0"/>
    </xf>
    <xf numFmtId="3" fontId="9" fillId="4" borderId="23" xfId="0" applyNumberFormat="1" applyFont="1" applyFill="1" applyBorder="1" applyProtection="1">
      <protection locked="0"/>
    </xf>
    <xf numFmtId="3" fontId="9" fillId="4" borderId="24" xfId="0" applyNumberFormat="1" applyFont="1" applyFill="1" applyBorder="1" applyProtection="1">
      <protection locked="0"/>
    </xf>
    <xf numFmtId="3" fontId="9" fillId="4" borderId="16" xfId="0" applyNumberFormat="1" applyFont="1" applyFill="1" applyBorder="1" applyProtection="1">
      <protection locked="0"/>
    </xf>
    <xf numFmtId="3" fontId="9" fillId="4" borderId="17" xfId="0" applyNumberFormat="1" applyFont="1" applyFill="1" applyBorder="1" applyProtection="1">
      <protection locked="0"/>
    </xf>
    <xf numFmtId="3" fontId="9" fillId="4" borderId="18" xfId="0" applyNumberFormat="1" applyFont="1" applyFill="1" applyBorder="1" applyProtection="1">
      <protection locked="0"/>
    </xf>
    <xf numFmtId="3" fontId="9" fillId="4" borderId="19" xfId="0" applyNumberFormat="1" applyFont="1" applyFill="1" applyBorder="1" applyProtection="1">
      <protection locked="0"/>
    </xf>
    <xf numFmtId="3" fontId="9" fillId="4" borderId="20" xfId="0" applyNumberFormat="1" applyFont="1" applyFill="1" applyBorder="1" applyProtection="1">
      <protection locked="0"/>
    </xf>
    <xf numFmtId="3" fontId="9" fillId="4" borderId="21" xfId="0" applyNumberFormat="1" applyFont="1" applyFill="1" applyBorder="1" applyProtection="1">
      <protection locked="0"/>
    </xf>
    <xf numFmtId="3" fontId="0" fillId="4" borderId="65" xfId="0" applyNumberFormat="1" applyFill="1" applyBorder="1" applyProtection="1">
      <protection locked="0"/>
    </xf>
    <xf numFmtId="3" fontId="0" fillId="4" borderId="34" xfId="0" applyNumberFormat="1" applyFill="1" applyBorder="1" applyProtection="1">
      <protection locked="0"/>
    </xf>
    <xf numFmtId="3" fontId="0" fillId="4" borderId="35" xfId="0" applyNumberFormat="1" applyFill="1" applyBorder="1" applyProtection="1">
      <protection locked="0"/>
    </xf>
    <xf numFmtId="3" fontId="0" fillId="4" borderId="59" xfId="0" applyNumberFormat="1" applyFill="1" applyBorder="1" applyProtection="1">
      <protection locked="0"/>
    </xf>
    <xf numFmtId="3" fontId="0" fillId="4" borderId="17" xfId="0" applyNumberFormat="1" applyFill="1" applyBorder="1" applyProtection="1">
      <protection locked="0"/>
    </xf>
    <xf numFmtId="3" fontId="0" fillId="4" borderId="18" xfId="0" applyNumberFormat="1" applyFill="1" applyBorder="1" applyProtection="1">
      <protection locked="0"/>
    </xf>
    <xf numFmtId="3" fontId="0" fillId="4" borderId="43" xfId="0" applyNumberFormat="1" applyFill="1" applyBorder="1" applyProtection="1">
      <protection locked="0"/>
    </xf>
    <xf numFmtId="3" fontId="0" fillId="4" borderId="20" xfId="0" applyNumberFormat="1" applyFill="1" applyBorder="1" applyProtection="1">
      <protection locked="0"/>
    </xf>
    <xf numFmtId="3" fontId="0" fillId="4" borderId="21" xfId="0" applyNumberFormat="1" applyFill="1" applyBorder="1" applyProtection="1">
      <protection locked="0"/>
    </xf>
    <xf numFmtId="3" fontId="0" fillId="4" borderId="44" xfId="0" applyNumberFormat="1" applyFill="1" applyBorder="1" applyProtection="1">
      <protection locked="0"/>
    </xf>
    <xf numFmtId="3" fontId="0" fillId="4" borderId="27" xfId="0" applyNumberFormat="1" applyFill="1" applyBorder="1" applyProtection="1">
      <protection locked="0"/>
    </xf>
    <xf numFmtId="3" fontId="0" fillId="4" borderId="28" xfId="0" applyNumberFormat="1" applyFill="1" applyBorder="1" applyProtection="1">
      <protection locked="0"/>
    </xf>
    <xf numFmtId="3" fontId="0" fillId="4" borderId="42" xfId="0" applyNumberFormat="1" applyFill="1" applyBorder="1" applyProtection="1">
      <protection locked="0"/>
    </xf>
    <xf numFmtId="3" fontId="0" fillId="4" borderId="40" xfId="0" applyNumberFormat="1" applyFill="1" applyBorder="1" applyProtection="1">
      <protection locked="0"/>
    </xf>
    <xf numFmtId="3" fontId="0" fillId="4" borderId="41" xfId="0" applyNumberFormat="1" applyFill="1" applyBorder="1" applyProtection="1">
      <protection locked="0"/>
    </xf>
    <xf numFmtId="3" fontId="0" fillId="4" borderId="33" xfId="0" applyNumberFormat="1" applyFill="1" applyBorder="1" applyProtection="1">
      <protection locked="0"/>
    </xf>
    <xf numFmtId="3" fontId="0" fillId="4" borderId="26" xfId="0" applyNumberFormat="1" applyFill="1" applyBorder="1" applyProtection="1">
      <protection locked="0"/>
    </xf>
    <xf numFmtId="3" fontId="0" fillId="4" borderId="39" xfId="0" applyNumberFormat="1" applyFill="1" applyBorder="1" applyProtection="1">
      <protection locked="0"/>
    </xf>
    <xf numFmtId="0" fontId="2" fillId="4" borderId="14" xfId="0" applyFont="1" applyFill="1" applyBorder="1" applyProtection="1">
      <protection locked="0"/>
    </xf>
    <xf numFmtId="3" fontId="0" fillId="4" borderId="16" xfId="0" applyNumberFormat="1" applyFill="1" applyBorder="1" applyProtection="1">
      <protection locked="0"/>
    </xf>
    <xf numFmtId="3" fontId="0" fillId="4" borderId="22" xfId="0" applyNumberFormat="1" applyFill="1" applyBorder="1" applyProtection="1">
      <protection locked="0"/>
    </xf>
    <xf numFmtId="3" fontId="0" fillId="4" borderId="23" xfId="0" applyNumberFormat="1" applyFill="1" applyBorder="1" applyProtection="1">
      <protection locked="0"/>
    </xf>
    <xf numFmtId="3" fontId="0" fillId="4" borderId="24" xfId="0" applyNumberFormat="1" applyFill="1" applyBorder="1" applyProtection="1">
      <protection locked="0"/>
    </xf>
    <xf numFmtId="3" fontId="0" fillId="4" borderId="36" xfId="0" applyNumberFormat="1" applyFill="1" applyBorder="1" applyProtection="1">
      <protection locked="0"/>
    </xf>
    <xf numFmtId="3" fontId="0" fillId="4" borderId="37" xfId="0" applyNumberFormat="1" applyFill="1" applyBorder="1" applyProtection="1">
      <protection locked="0"/>
    </xf>
    <xf numFmtId="3" fontId="0" fillId="4" borderId="38" xfId="0" applyNumberFormat="1" applyFill="1" applyBorder="1" applyProtection="1">
      <protection locked="0"/>
    </xf>
    <xf numFmtId="3" fontId="0" fillId="4" borderId="58" xfId="0" applyNumberFormat="1" applyFill="1" applyBorder="1" applyProtection="1">
      <protection locked="0"/>
    </xf>
    <xf numFmtId="0" fontId="2" fillId="4" borderId="5" xfId="0" applyFont="1" applyFill="1" applyBorder="1" applyProtection="1">
      <protection locked="0"/>
    </xf>
    <xf numFmtId="3" fontId="0" fillId="4" borderId="19" xfId="0" applyNumberFormat="1" applyFill="1" applyBorder="1" applyProtection="1">
      <protection locked="0"/>
    </xf>
    <xf numFmtId="2" fontId="0" fillId="4" borderId="33" xfId="0" applyNumberFormat="1" applyFill="1" applyBorder="1" applyProtection="1">
      <protection locked="0"/>
    </xf>
    <xf numFmtId="2" fontId="0" fillId="4" borderId="65" xfId="0" applyNumberFormat="1" applyFill="1" applyBorder="1" applyProtection="1">
      <protection locked="0"/>
    </xf>
    <xf numFmtId="2" fontId="0" fillId="4" borderId="35" xfId="0" applyNumberFormat="1" applyFill="1" applyBorder="1" applyProtection="1">
      <protection locked="0"/>
    </xf>
    <xf numFmtId="2" fontId="0" fillId="4" borderId="58" xfId="0" applyNumberFormat="1" applyFill="1" applyBorder="1" applyProtection="1">
      <protection locked="0"/>
    </xf>
    <xf numFmtId="2" fontId="0" fillId="4" borderId="24" xfId="0" applyNumberFormat="1" applyFill="1" applyBorder="1" applyProtection="1">
      <protection locked="0"/>
    </xf>
    <xf numFmtId="2" fontId="0" fillId="4" borderId="16" xfId="0" applyNumberFormat="1" applyFill="1" applyBorder="1" applyProtection="1">
      <protection locked="0"/>
    </xf>
    <xf numFmtId="2" fontId="0" fillId="4" borderId="17" xfId="0" applyNumberFormat="1" applyFill="1" applyBorder="1" applyProtection="1">
      <protection locked="0"/>
    </xf>
    <xf numFmtId="2" fontId="0" fillId="4" borderId="18" xfId="0" applyNumberFormat="1" applyFill="1" applyBorder="1" applyProtection="1">
      <protection locked="0"/>
    </xf>
    <xf numFmtId="2" fontId="0" fillId="4" borderId="26" xfId="0" applyNumberFormat="1" applyFill="1" applyBorder="1" applyProtection="1">
      <protection locked="0"/>
    </xf>
    <xf numFmtId="2" fontId="0" fillId="4" borderId="27" xfId="0" applyNumberFormat="1" applyFill="1" applyBorder="1" applyProtection="1">
      <protection locked="0"/>
    </xf>
    <xf numFmtId="2" fontId="0" fillId="4" borderId="28" xfId="0" applyNumberFormat="1" applyFill="1" applyBorder="1" applyProtection="1">
      <protection locked="0"/>
    </xf>
    <xf numFmtId="2" fontId="0" fillId="4" borderId="23" xfId="0" applyNumberFormat="1" applyFill="1" applyBorder="1" applyProtection="1">
      <protection locked="0"/>
    </xf>
    <xf numFmtId="2" fontId="0" fillId="4" borderId="19" xfId="0" applyNumberFormat="1" applyFill="1" applyBorder="1" applyProtection="1">
      <protection locked="0"/>
    </xf>
    <xf numFmtId="2" fontId="0" fillId="4" borderId="20" xfId="0" applyNumberFormat="1" applyFill="1" applyBorder="1" applyProtection="1">
      <protection locked="0"/>
    </xf>
    <xf numFmtId="2" fontId="0" fillId="4" borderId="21" xfId="0" applyNumberFormat="1" applyFill="1" applyBorder="1" applyProtection="1">
      <protection locked="0"/>
    </xf>
    <xf numFmtId="2" fontId="0" fillId="4" borderId="34" xfId="0" applyNumberFormat="1" applyFill="1" applyBorder="1" applyProtection="1">
      <protection locked="0"/>
    </xf>
    <xf numFmtId="2" fontId="0" fillId="4" borderId="51" xfId="0" applyNumberFormat="1" applyFill="1" applyBorder="1" applyProtection="1">
      <protection locked="0"/>
    </xf>
    <xf numFmtId="2" fontId="0" fillId="4" borderId="15" xfId="0" applyNumberFormat="1" applyFill="1" applyBorder="1" applyProtection="1">
      <protection locked="0"/>
    </xf>
    <xf numFmtId="2" fontId="0" fillId="4" borderId="54" xfId="0" applyNumberFormat="1" applyFill="1" applyBorder="1" applyProtection="1">
      <protection locked="0"/>
    </xf>
    <xf numFmtId="2" fontId="0" fillId="4" borderId="50" xfId="0" applyNumberFormat="1" applyFill="1" applyBorder="1" applyProtection="1">
      <protection locked="0"/>
    </xf>
    <xf numFmtId="2" fontId="0" fillId="4" borderId="39" xfId="0" applyNumberFormat="1" applyFill="1" applyBorder="1" applyProtection="1">
      <protection locked="0"/>
    </xf>
    <xf numFmtId="2" fontId="0" fillId="4" borderId="40" xfId="0" applyNumberFormat="1" applyFill="1" applyBorder="1" applyProtection="1">
      <protection locked="0"/>
    </xf>
    <xf numFmtId="2" fontId="0" fillId="4" borderId="41" xfId="0" applyNumberFormat="1" applyFill="1" applyBorder="1" applyProtection="1">
      <protection locked="0"/>
    </xf>
    <xf numFmtId="2" fontId="0" fillId="4" borderId="22" xfId="0" applyNumberFormat="1" applyFill="1" applyBorder="1" applyProtection="1">
      <protection locked="0"/>
    </xf>
    <xf numFmtId="2" fontId="0" fillId="4" borderId="36" xfId="0" applyNumberFormat="1" applyFill="1" applyBorder="1" applyProtection="1">
      <protection locked="0"/>
    </xf>
    <xf numFmtId="2" fontId="0" fillId="4" borderId="37" xfId="0" applyNumberFormat="1" applyFill="1" applyBorder="1" applyProtection="1">
      <protection locked="0"/>
    </xf>
    <xf numFmtId="2" fontId="0" fillId="4" borderId="38" xfId="0" applyNumberFormat="1" applyFill="1" applyBorder="1" applyProtection="1">
      <protection locked="0"/>
    </xf>
    <xf numFmtId="2" fontId="0" fillId="4" borderId="42" xfId="0" applyNumberFormat="1" applyFill="1" applyBorder="1" applyProtection="1">
      <protection locked="0"/>
    </xf>
    <xf numFmtId="2" fontId="0" fillId="4" borderId="43" xfId="0" applyNumberFormat="1" applyFill="1" applyBorder="1" applyProtection="1">
      <protection locked="0"/>
    </xf>
    <xf numFmtId="2" fontId="0" fillId="4" borderId="44" xfId="0" applyNumberFormat="1" applyFill="1" applyBorder="1" applyProtection="1">
      <protection locked="0"/>
    </xf>
    <xf numFmtId="9" fontId="0" fillId="4" borderId="46" xfId="11" applyFont="1" applyFill="1" applyBorder="1" applyProtection="1">
      <protection locked="0"/>
    </xf>
    <xf numFmtId="9" fontId="0" fillId="4" borderId="60" xfId="11" applyFont="1" applyFill="1" applyBorder="1" applyProtection="1">
      <protection locked="0"/>
    </xf>
    <xf numFmtId="9" fontId="0" fillId="4" borderId="53" xfId="11" applyFont="1" applyFill="1" applyBorder="1" applyProtection="1">
      <protection locked="0"/>
    </xf>
    <xf numFmtId="9" fontId="0" fillId="4" borderId="61" xfId="11" applyFont="1" applyFill="1" applyBorder="1" applyProtection="1">
      <protection locked="0"/>
    </xf>
    <xf numFmtId="9" fontId="2" fillId="8" borderId="53" xfId="0" applyNumberFormat="1" applyFont="1" applyFill="1" applyBorder="1" applyProtection="1">
      <protection locked="0"/>
    </xf>
    <xf numFmtId="9" fontId="2" fillId="8" borderId="61" xfId="0" applyNumberFormat="1" applyFont="1" applyFill="1" applyBorder="1" applyProtection="1">
      <protection locked="0"/>
    </xf>
    <xf numFmtId="0" fontId="0" fillId="4" borderId="71" xfId="0" applyFill="1" applyBorder="1" applyProtection="1">
      <protection locked="0"/>
    </xf>
    <xf numFmtId="0" fontId="0" fillId="4" borderId="72" xfId="0" applyFill="1" applyBorder="1" applyProtection="1">
      <protection locked="0"/>
    </xf>
    <xf numFmtId="0" fontId="0" fillId="4" borderId="46" xfId="0" applyFill="1" applyBorder="1" applyProtection="1">
      <protection locked="0"/>
    </xf>
    <xf numFmtId="0" fontId="0" fillId="4" borderId="53" xfId="0" applyFill="1" applyBorder="1" applyProtection="1">
      <protection locked="0"/>
    </xf>
    <xf numFmtId="0" fontId="0" fillId="4" borderId="60" xfId="0" applyFill="1" applyBorder="1" applyProtection="1">
      <protection locked="0"/>
    </xf>
    <xf numFmtId="0" fontId="0" fillId="4" borderId="52" xfId="0" applyFill="1" applyBorder="1" applyProtection="1">
      <protection locked="0"/>
    </xf>
    <xf numFmtId="0" fontId="0" fillId="4" borderId="13" xfId="0" applyFill="1" applyBorder="1" applyProtection="1">
      <protection locked="0"/>
    </xf>
    <xf numFmtId="0" fontId="0" fillId="4" borderId="6" xfId="0" applyFill="1" applyBorder="1" applyProtection="1">
      <protection locked="0"/>
    </xf>
    <xf numFmtId="0" fontId="0" fillId="4" borderId="14" xfId="0" applyFill="1" applyBorder="1" applyProtection="1">
      <protection locked="0"/>
    </xf>
    <xf numFmtId="168" fontId="9" fillId="4" borderId="16" xfId="0" applyNumberFormat="1" applyFont="1" applyFill="1" applyBorder="1" applyProtection="1">
      <protection locked="0"/>
    </xf>
    <xf numFmtId="168" fontId="9" fillId="4" borderId="58" xfId="0" applyNumberFormat="1" applyFont="1" applyFill="1" applyBorder="1" applyProtection="1">
      <protection locked="0"/>
    </xf>
    <xf numFmtId="168" fontId="9" fillId="4" borderId="23" xfId="0" applyNumberFormat="1" applyFont="1" applyFill="1" applyBorder="1" applyProtection="1">
      <protection locked="0"/>
    </xf>
    <xf numFmtId="168" fontId="9" fillId="4" borderId="59" xfId="0" applyNumberFormat="1" applyFont="1" applyFill="1" applyBorder="1" applyProtection="1">
      <protection locked="0"/>
    </xf>
    <xf numFmtId="168" fontId="9" fillId="4" borderId="17" xfId="0" applyNumberFormat="1" applyFont="1" applyFill="1" applyBorder="1" applyProtection="1">
      <protection locked="0"/>
    </xf>
    <xf numFmtId="168" fontId="9" fillId="4" borderId="19" xfId="0" applyNumberFormat="1" applyFont="1" applyFill="1" applyBorder="1" applyProtection="1">
      <protection locked="0"/>
    </xf>
    <xf numFmtId="168" fontId="9" fillId="4" borderId="43" xfId="0" applyNumberFormat="1" applyFont="1" applyFill="1" applyBorder="1" applyProtection="1">
      <protection locked="0"/>
    </xf>
    <xf numFmtId="168" fontId="9" fillId="4" borderId="20" xfId="0" applyNumberFormat="1" applyFont="1" applyFill="1" applyBorder="1" applyProtection="1">
      <protection locked="0"/>
    </xf>
    <xf numFmtId="168" fontId="9" fillId="4" borderId="22" xfId="0" applyNumberFormat="1" applyFont="1" applyFill="1" applyBorder="1" applyProtection="1">
      <protection locked="0"/>
    </xf>
    <xf numFmtId="168" fontId="9" fillId="4" borderId="56" xfId="0" applyNumberFormat="1" applyFont="1" applyFill="1" applyBorder="1" applyProtection="1">
      <protection locked="0"/>
    </xf>
    <xf numFmtId="168" fontId="9" fillId="4" borderId="55" xfId="0" applyNumberFormat="1" applyFont="1" applyFill="1" applyBorder="1" applyProtection="1">
      <protection locked="0"/>
    </xf>
    <xf numFmtId="168" fontId="9" fillId="4" borderId="45" xfId="0" applyNumberFormat="1" applyFont="1" applyFill="1" applyBorder="1" applyProtection="1">
      <protection locked="0"/>
    </xf>
    <xf numFmtId="168" fontId="9" fillId="4" borderId="34" xfId="0" applyNumberFormat="1" applyFont="1" applyFill="1" applyBorder="1" applyProtection="1">
      <protection locked="0"/>
    </xf>
    <xf numFmtId="168" fontId="9" fillId="4" borderId="47" xfId="0" applyNumberFormat="1" applyFont="1" applyFill="1" applyBorder="1" applyProtection="1">
      <protection locked="0"/>
    </xf>
    <xf numFmtId="168" fontId="9" fillId="4" borderId="67" xfId="0" applyNumberFormat="1" applyFont="1" applyFill="1" applyBorder="1" applyProtection="1">
      <protection locked="0"/>
    </xf>
    <xf numFmtId="168" fontId="9" fillId="4" borderId="26" xfId="0" applyNumberFormat="1" applyFont="1" applyFill="1" applyBorder="1" applyProtection="1">
      <protection locked="0"/>
    </xf>
    <xf numFmtId="168" fontId="9" fillId="4" borderId="27" xfId="0" applyNumberFormat="1" applyFont="1" applyFill="1" applyBorder="1" applyProtection="1">
      <protection locked="0"/>
    </xf>
    <xf numFmtId="168" fontId="9" fillId="4" borderId="44" xfId="0" applyNumberFormat="1" applyFont="1" applyFill="1" applyBorder="1" applyProtection="1">
      <protection locked="0"/>
    </xf>
    <xf numFmtId="168" fontId="9" fillId="4" borderId="65" xfId="0" applyNumberFormat="1" applyFont="1" applyFill="1" applyBorder="1" applyProtection="1">
      <protection locked="0"/>
    </xf>
    <xf numFmtId="10" fontId="9" fillId="4" borderId="33" xfId="0" applyNumberFormat="1" applyFont="1" applyFill="1" applyBorder="1" applyProtection="1">
      <protection locked="0"/>
    </xf>
    <xf numFmtId="10" fontId="9" fillId="4" borderId="34" xfId="0" applyNumberFormat="1" applyFont="1" applyFill="1" applyBorder="1" applyProtection="1">
      <protection locked="0"/>
    </xf>
    <xf numFmtId="10" fontId="9" fillId="4" borderId="35" xfId="0" applyNumberFormat="1" applyFont="1" applyFill="1" applyBorder="1" applyProtection="1">
      <protection locked="0"/>
    </xf>
    <xf numFmtId="10" fontId="9" fillId="4" borderId="16" xfId="0" applyNumberFormat="1" applyFont="1" applyFill="1" applyBorder="1" applyProtection="1">
      <protection locked="0"/>
    </xf>
    <xf numFmtId="10" fontId="9" fillId="4" borderId="17" xfId="0" applyNumberFormat="1" applyFont="1" applyFill="1" applyBorder="1" applyProtection="1">
      <protection locked="0"/>
    </xf>
    <xf numFmtId="10" fontId="9" fillId="4" borderId="18" xfId="0" applyNumberFormat="1" applyFont="1" applyFill="1" applyBorder="1" applyProtection="1">
      <protection locked="0"/>
    </xf>
    <xf numFmtId="10" fontId="9" fillId="4" borderId="26" xfId="0" applyNumberFormat="1" applyFont="1" applyFill="1" applyBorder="1" applyProtection="1">
      <protection locked="0"/>
    </xf>
    <xf numFmtId="10" fontId="9" fillId="4" borderId="27" xfId="0" applyNumberFormat="1" applyFont="1" applyFill="1" applyBorder="1" applyProtection="1">
      <protection locked="0"/>
    </xf>
    <xf numFmtId="10" fontId="9" fillId="4" borderId="28" xfId="0" applyNumberFormat="1" applyFont="1" applyFill="1" applyBorder="1" applyProtection="1">
      <protection locked="0"/>
    </xf>
    <xf numFmtId="0" fontId="9" fillId="4" borderId="33" xfId="0" applyFont="1" applyFill="1" applyBorder="1" applyProtection="1">
      <protection locked="0"/>
    </xf>
    <xf numFmtId="0" fontId="9" fillId="4" borderId="45" xfId="0" applyFont="1" applyFill="1" applyBorder="1" applyProtection="1">
      <protection locked="0"/>
    </xf>
    <xf numFmtId="0" fontId="9" fillId="4" borderId="56" xfId="0" applyFont="1" applyFill="1" applyBorder="1" applyProtection="1">
      <protection locked="0"/>
    </xf>
    <xf numFmtId="0" fontId="9" fillId="4" borderId="34" xfId="0" applyFont="1" applyFill="1" applyBorder="1" applyProtection="1">
      <protection locked="0"/>
    </xf>
    <xf numFmtId="0" fontId="9" fillId="4" borderId="58" xfId="0" applyFont="1" applyFill="1" applyBorder="1" applyProtection="1">
      <protection locked="0"/>
    </xf>
    <xf numFmtId="0" fontId="9" fillId="4" borderId="23" xfId="0" applyFont="1" applyFill="1" applyBorder="1" applyProtection="1">
      <protection locked="0"/>
    </xf>
    <xf numFmtId="0" fontId="9" fillId="4" borderId="16" xfId="0" applyFont="1" applyFill="1" applyBorder="1" applyProtection="1">
      <protection locked="0"/>
    </xf>
    <xf numFmtId="0" fontId="9" fillId="4" borderId="46" xfId="0" applyFont="1" applyFill="1" applyBorder="1" applyProtection="1">
      <protection locked="0"/>
    </xf>
    <xf numFmtId="0" fontId="9" fillId="4" borderId="55" xfId="0" applyFont="1" applyFill="1" applyBorder="1" applyProtection="1">
      <protection locked="0"/>
    </xf>
    <xf numFmtId="0" fontId="9" fillId="4" borderId="17" xfId="0" applyFont="1" applyFill="1" applyBorder="1" applyProtection="1">
      <protection locked="0"/>
    </xf>
    <xf numFmtId="0" fontId="9" fillId="4" borderId="59" xfId="0" applyFont="1" applyFill="1" applyBorder="1" applyProtection="1">
      <protection locked="0"/>
    </xf>
    <xf numFmtId="0" fontId="9" fillId="4" borderId="26" xfId="0" applyFont="1" applyFill="1" applyBorder="1" applyProtection="1">
      <protection locked="0"/>
    </xf>
    <xf numFmtId="0" fontId="9" fillId="4" borderId="60" xfId="0" applyFont="1" applyFill="1" applyBorder="1" applyProtection="1">
      <protection locked="0"/>
    </xf>
    <xf numFmtId="0" fontId="9" fillId="4" borderId="68" xfId="0" applyFont="1" applyFill="1" applyBorder="1" applyProtection="1">
      <protection locked="0"/>
    </xf>
    <xf numFmtId="0" fontId="9" fillId="4" borderId="27" xfId="0" applyFont="1" applyFill="1" applyBorder="1" applyProtection="1">
      <protection locked="0"/>
    </xf>
    <xf numFmtId="0" fontId="9" fillId="4" borderId="44" xfId="0" applyFont="1" applyFill="1" applyBorder="1" applyProtection="1">
      <protection locked="0"/>
    </xf>
    <xf numFmtId="0" fontId="9" fillId="4" borderId="51" xfId="0" applyFont="1" applyFill="1" applyBorder="1" applyProtection="1">
      <protection locked="0"/>
    </xf>
    <xf numFmtId="0" fontId="9" fillId="4" borderId="12" xfId="0" applyFont="1" applyFill="1" applyBorder="1" applyProtection="1">
      <protection locked="0"/>
    </xf>
    <xf numFmtId="0" fontId="9" fillId="4" borderId="15" xfId="0" applyFont="1" applyFill="1" applyBorder="1" applyProtection="1">
      <protection locked="0"/>
    </xf>
    <xf numFmtId="0" fontId="9" fillId="4" borderId="57" xfId="0" applyFont="1" applyFill="1" applyBorder="1" applyProtection="1">
      <protection locked="0"/>
    </xf>
    <xf numFmtId="3" fontId="23" fillId="4" borderId="58" xfId="0" applyNumberFormat="1" applyFont="1" applyFill="1" applyBorder="1" applyProtection="1">
      <protection locked="0"/>
    </xf>
    <xf numFmtId="2" fontId="23" fillId="4" borderId="24" xfId="0" applyNumberFormat="1" applyFont="1" applyFill="1" applyBorder="1" applyProtection="1">
      <protection locked="0"/>
    </xf>
    <xf numFmtId="3" fontId="23" fillId="4" borderId="59" xfId="0" applyNumberFormat="1" applyFont="1" applyFill="1" applyBorder="1" applyProtection="1">
      <protection locked="0"/>
    </xf>
    <xf numFmtId="3" fontId="23" fillId="4" borderId="44" xfId="0" applyNumberFormat="1" applyFont="1" applyFill="1" applyBorder="1" applyProtection="1">
      <protection locked="0"/>
    </xf>
    <xf numFmtId="2" fontId="23" fillId="4" borderId="38" xfId="0" applyNumberFormat="1" applyFont="1" applyFill="1" applyBorder="1" applyProtection="1">
      <protection locked="0"/>
    </xf>
    <xf numFmtId="3" fontId="0" fillId="4" borderId="6" xfId="0" applyNumberFormat="1" applyFill="1" applyBorder="1" applyProtection="1">
      <protection locked="0"/>
    </xf>
    <xf numFmtId="3" fontId="23" fillId="4" borderId="17" xfId="0" applyNumberFormat="1" applyFont="1" applyFill="1" applyBorder="1" applyProtection="1">
      <protection locked="0"/>
    </xf>
    <xf numFmtId="3" fontId="23" fillId="4" borderId="18" xfId="0" applyNumberFormat="1" applyFont="1" applyFill="1" applyBorder="1" applyProtection="1">
      <protection locked="0"/>
    </xf>
    <xf numFmtId="3" fontId="23" fillId="4" borderId="28" xfId="0" applyNumberFormat="1" applyFont="1" applyFill="1" applyBorder="1" applyProtection="1">
      <protection locked="0"/>
    </xf>
    <xf numFmtId="3" fontId="23" fillId="4" borderId="24" xfId="0" applyNumberFormat="1" applyFont="1" applyFill="1" applyBorder="1" applyProtection="1">
      <protection locked="0"/>
    </xf>
    <xf numFmtId="2" fontId="0" fillId="4" borderId="63" xfId="0" applyNumberFormat="1" applyFill="1" applyBorder="1" applyProtection="1">
      <protection locked="0"/>
    </xf>
    <xf numFmtId="2" fontId="0" fillId="4" borderId="52" xfId="0" applyNumberFormat="1" applyFill="1" applyBorder="1" applyProtection="1">
      <protection locked="0"/>
    </xf>
    <xf numFmtId="2" fontId="0" fillId="4" borderId="64" xfId="0" applyNumberFormat="1" applyFill="1" applyBorder="1" applyProtection="1">
      <protection locked="0"/>
    </xf>
    <xf numFmtId="2" fontId="0" fillId="4" borderId="73" xfId="0" applyNumberFormat="1" applyFill="1" applyBorder="1" applyProtection="1">
      <protection locked="0"/>
    </xf>
    <xf numFmtId="2" fontId="0" fillId="4" borderId="53" xfId="0" applyNumberFormat="1" applyFill="1" applyBorder="1" applyProtection="1">
      <protection locked="0"/>
    </xf>
    <xf numFmtId="2" fontId="0" fillId="4" borderId="71" xfId="0" applyNumberFormat="1" applyFill="1" applyBorder="1" applyProtection="1">
      <protection locked="0"/>
    </xf>
    <xf numFmtId="2" fontId="0" fillId="4" borderId="75" xfId="0" applyNumberFormat="1" applyFill="1" applyBorder="1" applyProtection="1">
      <protection locked="0"/>
    </xf>
    <xf numFmtId="2" fontId="0" fillId="4" borderId="61" xfId="0" applyNumberFormat="1" applyFill="1" applyBorder="1" applyProtection="1">
      <protection locked="0"/>
    </xf>
    <xf numFmtId="2" fontId="0" fillId="4" borderId="72" xfId="0" applyNumberFormat="1" applyFill="1" applyBorder="1" applyProtection="1">
      <protection locked="0"/>
    </xf>
    <xf numFmtId="2" fontId="0" fillId="4" borderId="3" xfId="0" applyNumberFormat="1" applyFill="1" applyBorder="1" applyProtection="1">
      <protection locked="0"/>
    </xf>
    <xf numFmtId="2" fontId="0" fillId="4" borderId="4" xfId="0" applyNumberFormat="1" applyFill="1" applyBorder="1" applyProtection="1">
      <protection locked="0"/>
    </xf>
    <xf numFmtId="9" fontId="0" fillId="4" borderId="1" xfId="0" applyNumberFormat="1" applyFill="1" applyBorder="1" applyProtection="1">
      <protection locked="0"/>
    </xf>
    <xf numFmtId="9" fontId="0" fillId="4" borderId="6" xfId="0" applyNumberFormat="1" applyFill="1" applyBorder="1" applyProtection="1">
      <protection locked="0"/>
    </xf>
    <xf numFmtId="0" fontId="0" fillId="4" borderId="50" xfId="0" applyFill="1" applyBorder="1" applyProtection="1">
      <protection locked="0"/>
    </xf>
    <xf numFmtId="0" fontId="0" fillId="4" borderId="51" xfId="0" applyFill="1" applyBorder="1" applyProtection="1">
      <protection locked="0"/>
    </xf>
    <xf numFmtId="1" fontId="0" fillId="4" borderId="39" xfId="0" applyNumberFormat="1" applyFill="1" applyBorder="1" applyProtection="1">
      <protection locked="0"/>
    </xf>
    <xf numFmtId="0" fontId="0" fillId="4" borderId="26" xfId="0" applyFill="1" applyBorder="1" applyProtection="1">
      <protection locked="0"/>
    </xf>
    <xf numFmtId="0" fontId="0" fillId="4" borderId="28" xfId="0" applyFill="1" applyBorder="1" applyProtection="1">
      <protection locked="0"/>
    </xf>
    <xf numFmtId="0" fontId="0" fillId="4" borderId="24" xfId="0" applyFill="1" applyBorder="1" applyProtection="1">
      <protection locked="0"/>
    </xf>
    <xf numFmtId="0" fontId="0" fillId="0" borderId="0" xfId="0" applyAlignment="1">
      <alignment wrapText="1"/>
    </xf>
    <xf numFmtId="0" fontId="1" fillId="8" borderId="26" xfId="14" applyFill="1" applyBorder="1" applyProtection="1">
      <protection locked="0"/>
    </xf>
    <xf numFmtId="0" fontId="1" fillId="8" borderId="2" xfId="14" applyFill="1" applyBorder="1" applyProtection="1">
      <protection locked="0"/>
    </xf>
    <xf numFmtId="0" fontId="1" fillId="8" borderId="29" xfId="14" applyFill="1" applyBorder="1" applyProtection="1">
      <protection locked="0"/>
    </xf>
    <xf numFmtId="0" fontId="61" fillId="0" borderId="0" xfId="0" applyFont="1" applyAlignment="1" applyProtection="1">
      <alignment horizontal="center"/>
      <protection hidden="1"/>
    </xf>
    <xf numFmtId="1" fontId="61" fillId="0" borderId="0" xfId="0" applyNumberFormat="1" applyFont="1" applyAlignment="1" applyProtection="1">
      <alignment horizontal="center"/>
      <protection hidden="1"/>
    </xf>
    <xf numFmtId="0" fontId="8" fillId="8" borderId="1" xfId="0" applyFont="1" applyFill="1" applyBorder="1" applyAlignment="1" applyProtection="1">
      <alignment horizontal="center"/>
      <protection locked="0"/>
    </xf>
    <xf numFmtId="0" fontId="8" fillId="8" borderId="12" xfId="0" applyFont="1" applyFill="1" applyBorder="1" applyAlignment="1" applyProtection="1">
      <alignment horizontal="center"/>
      <protection locked="0"/>
    </xf>
    <xf numFmtId="0" fontId="8" fillId="8" borderId="7" xfId="0" applyFont="1" applyFill="1" applyBorder="1" applyAlignment="1" applyProtection="1">
      <alignment horizontal="center"/>
      <protection locked="0"/>
    </xf>
    <xf numFmtId="0" fontId="37" fillId="3" borderId="25" xfId="0" applyFont="1" applyFill="1" applyBorder="1" applyAlignment="1">
      <alignment horizontal="center" vertical="center" wrapText="1"/>
    </xf>
    <xf numFmtId="0" fontId="37" fillId="3" borderId="14" xfId="0" applyFont="1" applyFill="1" applyBorder="1" applyAlignment="1">
      <alignment horizontal="center" vertical="center" wrapText="1"/>
    </xf>
    <xf numFmtId="0" fontId="12" fillId="2" borderId="1" xfId="0" applyFont="1" applyFill="1" applyBorder="1" applyAlignment="1">
      <alignment horizontal="left"/>
    </xf>
    <xf numFmtId="0" fontId="12" fillId="2" borderId="12" xfId="0" applyFont="1" applyFill="1" applyBorder="1" applyAlignment="1">
      <alignment horizontal="left"/>
    </xf>
    <xf numFmtId="0" fontId="12" fillId="2" borderId="7" xfId="0" applyFont="1" applyFill="1" applyBorder="1" applyAlignment="1">
      <alignment horizontal="left"/>
    </xf>
    <xf numFmtId="3" fontId="37" fillId="3" borderId="25" xfId="0" applyNumberFormat="1" applyFont="1" applyFill="1" applyBorder="1" applyAlignment="1">
      <alignment horizontal="center" vertical="center" wrapText="1"/>
    </xf>
    <xf numFmtId="3" fontId="37" fillId="3" borderId="14" xfId="0" applyNumberFormat="1" applyFont="1" applyFill="1" applyBorder="1" applyAlignment="1">
      <alignment horizontal="center" vertical="center" wrapText="1"/>
    </xf>
    <xf numFmtId="0" fontId="2" fillId="3" borderId="25" xfId="0" applyFont="1" applyFill="1" applyBorder="1" applyAlignment="1">
      <alignment horizontal="left" vertical="top"/>
    </xf>
    <xf numFmtId="0" fontId="2" fillId="3" borderId="14" xfId="0" applyFont="1" applyFill="1" applyBorder="1" applyAlignment="1">
      <alignment horizontal="left" vertical="top"/>
    </xf>
    <xf numFmtId="1" fontId="48" fillId="3" borderId="31" xfId="0" applyNumberFormat="1" applyFont="1" applyFill="1" applyBorder="1" applyAlignment="1">
      <alignment horizontal="center"/>
    </xf>
    <xf numFmtId="1" fontId="48" fillId="3" borderId="38" xfId="0" applyNumberFormat="1" applyFont="1" applyFill="1" applyBorder="1" applyAlignment="1">
      <alignment horizontal="center"/>
    </xf>
    <xf numFmtId="1" fontId="48" fillId="3" borderId="49" xfId="0" applyNumberFormat="1" applyFont="1" applyFill="1" applyBorder="1" applyAlignment="1">
      <alignment horizontal="center"/>
    </xf>
    <xf numFmtId="1" fontId="48" fillId="3" borderId="39" xfId="0" applyNumberFormat="1" applyFont="1" applyFill="1" applyBorder="1" applyAlignment="1">
      <alignment horizontal="center"/>
    </xf>
    <xf numFmtId="1" fontId="48" fillId="3" borderId="30" xfId="0" applyNumberFormat="1" applyFont="1" applyFill="1" applyBorder="1" applyAlignment="1">
      <alignment horizontal="center"/>
    </xf>
    <xf numFmtId="1" fontId="48" fillId="3" borderId="37" xfId="0" applyNumberFormat="1" applyFont="1" applyFill="1" applyBorder="1" applyAlignment="1">
      <alignment horizontal="center"/>
    </xf>
    <xf numFmtId="1" fontId="48" fillId="3" borderId="36" xfId="0" applyNumberFormat="1" applyFont="1" applyFill="1" applyBorder="1" applyAlignment="1">
      <alignment horizontal="center"/>
    </xf>
    <xf numFmtId="0" fontId="2" fillId="11" borderId="1" xfId="0" applyFont="1" applyFill="1" applyBorder="1" applyAlignment="1">
      <alignment horizontal="center" wrapText="1"/>
    </xf>
    <xf numFmtId="0" fontId="2" fillId="11" borderId="12" xfId="0" applyFont="1" applyFill="1" applyBorder="1" applyAlignment="1">
      <alignment horizontal="center" wrapText="1"/>
    </xf>
    <xf numFmtId="0" fontId="2" fillId="11" borderId="7" xfId="0" applyFont="1" applyFill="1" applyBorder="1" applyAlignment="1">
      <alignment horizontal="center" wrapText="1"/>
    </xf>
    <xf numFmtId="0" fontId="2" fillId="11" borderId="63" xfId="0" applyFont="1" applyFill="1" applyBorder="1" applyAlignment="1">
      <alignment horizontal="center"/>
    </xf>
    <xf numFmtId="0" fontId="2" fillId="11" borderId="48" xfId="0" applyFont="1" applyFill="1" applyBorder="1" applyAlignment="1">
      <alignment horizontal="center"/>
    </xf>
    <xf numFmtId="0" fontId="2" fillId="11" borderId="64" xfId="0" applyFont="1" applyFill="1" applyBorder="1" applyAlignment="1">
      <alignment horizontal="center"/>
    </xf>
    <xf numFmtId="0" fontId="2" fillId="11" borderId="3" xfId="0" applyFont="1" applyFill="1" applyBorder="1" applyAlignment="1">
      <alignment horizontal="center"/>
    </xf>
    <xf numFmtId="0" fontId="2" fillId="11" borderId="8" xfId="0" applyFont="1" applyFill="1" applyBorder="1" applyAlignment="1">
      <alignment horizontal="center"/>
    </xf>
    <xf numFmtId="0" fontId="2" fillId="11" borderId="4" xfId="0" applyFont="1" applyFill="1" applyBorder="1" applyAlignment="1">
      <alignment horizontal="center"/>
    </xf>
    <xf numFmtId="168" fontId="2" fillId="11" borderId="63" xfId="0" applyNumberFormat="1" applyFont="1" applyFill="1" applyBorder="1" applyAlignment="1">
      <alignment horizontal="center"/>
    </xf>
    <xf numFmtId="168" fontId="2" fillId="11" borderId="48" xfId="0" applyNumberFormat="1" applyFont="1" applyFill="1" applyBorder="1" applyAlignment="1">
      <alignment horizontal="center"/>
    </xf>
    <xf numFmtId="0" fontId="2" fillId="3" borderId="1" xfId="0" applyFont="1" applyFill="1" applyBorder="1" applyAlignment="1">
      <alignment horizontal="center"/>
    </xf>
    <xf numFmtId="0" fontId="2" fillId="3" borderId="12" xfId="0" applyFont="1" applyFill="1" applyBorder="1" applyAlignment="1">
      <alignment horizontal="center"/>
    </xf>
    <xf numFmtId="0" fontId="2" fillId="3" borderId="7" xfId="0" applyFont="1" applyFill="1" applyBorder="1" applyAlignment="1">
      <alignment horizontal="center"/>
    </xf>
    <xf numFmtId="0" fontId="2" fillId="6" borderId="13" xfId="0" applyFont="1" applyFill="1" applyBorder="1" applyAlignment="1">
      <alignment horizontal="left" vertical="top" wrapText="1"/>
    </xf>
    <xf numFmtId="0" fontId="2" fillId="6" borderId="14" xfId="0" applyFont="1" applyFill="1" applyBorder="1" applyAlignment="1">
      <alignment horizontal="left" vertical="top" wrapText="1"/>
    </xf>
    <xf numFmtId="168" fontId="18" fillId="14" borderId="0" xfId="0" applyNumberFormat="1" applyFont="1" applyFill="1" applyAlignment="1">
      <alignment horizontal="left"/>
    </xf>
    <xf numFmtId="168" fontId="18" fillId="14" borderId="0" xfId="0" applyNumberFormat="1" applyFont="1" applyFill="1" applyAlignment="1">
      <alignment horizontal="left" vertical="center"/>
    </xf>
    <xf numFmtId="168" fontId="18" fillId="14" borderId="0" xfId="0" applyNumberFormat="1" applyFont="1" applyFill="1" applyAlignment="1">
      <alignment horizontal="center"/>
    </xf>
    <xf numFmtId="0" fontId="2" fillId="6" borderId="1" xfId="0" applyFont="1" applyFill="1" applyBorder="1" applyAlignment="1">
      <alignment horizontal="left"/>
    </xf>
    <xf numFmtId="0" fontId="2" fillId="6" borderId="12" xfId="0" applyFont="1" applyFill="1" applyBorder="1" applyAlignment="1">
      <alignment horizontal="left"/>
    </xf>
    <xf numFmtId="0" fontId="2" fillId="6" borderId="7" xfId="0" applyFont="1" applyFill="1" applyBorder="1" applyAlignment="1">
      <alignment horizontal="left"/>
    </xf>
    <xf numFmtId="168" fontId="18" fillId="14" borderId="0" xfId="0" applyNumberFormat="1" applyFont="1" applyFill="1" applyAlignment="1">
      <alignment horizontal="right" indent="2"/>
    </xf>
    <xf numFmtId="168" fontId="18" fillId="14" borderId="0" xfId="0" applyNumberFormat="1" applyFont="1" applyFill="1" applyAlignment="1">
      <alignment horizontal="right" indent="1"/>
    </xf>
    <xf numFmtId="168" fontId="18" fillId="14" borderId="0" xfId="0" applyNumberFormat="1" applyFont="1" applyFill="1" applyAlignment="1">
      <alignment horizontal="right" indent="6"/>
    </xf>
    <xf numFmtId="0" fontId="2" fillId="3" borderId="3" xfId="0" applyFont="1" applyFill="1" applyBorder="1" applyAlignment="1">
      <alignment horizontal="center" wrapText="1"/>
    </xf>
    <xf numFmtId="0" fontId="2" fillId="3" borderId="4" xfId="0" applyFont="1" applyFill="1" applyBorder="1" applyAlignment="1">
      <alignment horizontal="center" wrapText="1"/>
    </xf>
    <xf numFmtId="0" fontId="2" fillId="3" borderId="5" xfId="0" applyFont="1" applyFill="1" applyBorder="1" applyAlignment="1">
      <alignment horizontal="center" wrapText="1"/>
    </xf>
    <xf numFmtId="0" fontId="2" fillId="3" borderId="11" xfId="0" applyFont="1" applyFill="1" applyBorder="1" applyAlignment="1">
      <alignment horizontal="center" wrapText="1"/>
    </xf>
    <xf numFmtId="0" fontId="9" fillId="3" borderId="25" xfId="0" applyFont="1" applyFill="1" applyBorder="1" applyAlignment="1">
      <alignment horizontal="center" wrapText="1"/>
    </xf>
    <xf numFmtId="0" fontId="0" fillId="3" borderId="14" xfId="0" applyFill="1" applyBorder="1" applyAlignment="1">
      <alignment horizontal="center" wrapText="1"/>
    </xf>
    <xf numFmtId="0" fontId="2" fillId="6" borderId="25" xfId="0" applyFont="1" applyFill="1" applyBorder="1"/>
    <xf numFmtId="0" fontId="0" fillId="0" borderId="14" xfId="0" applyBorder="1"/>
    <xf numFmtId="0" fontId="1" fillId="3" borderId="3" xfId="0" applyFont="1" applyFill="1" applyBorder="1" applyAlignment="1">
      <alignment horizontal="left" wrapText="1"/>
    </xf>
    <xf numFmtId="0" fontId="1" fillId="3" borderId="4" xfId="0" applyFont="1" applyFill="1" applyBorder="1" applyAlignment="1">
      <alignment horizontal="left" wrapText="1"/>
    </xf>
    <xf numFmtId="2" fontId="0" fillId="4" borderId="73" xfId="0" applyNumberFormat="1" applyFill="1" applyBorder="1" applyAlignment="1" applyProtection="1">
      <alignment horizontal="center"/>
      <protection locked="0"/>
    </xf>
    <xf numFmtId="2" fontId="0" fillId="4" borderId="71" xfId="0" applyNumberFormat="1" applyFill="1" applyBorder="1" applyAlignment="1" applyProtection="1">
      <alignment horizontal="center"/>
      <protection locked="0"/>
    </xf>
    <xf numFmtId="0" fontId="1" fillId="6" borderId="1" xfId="0" applyFont="1" applyFill="1" applyBorder="1" applyAlignment="1">
      <alignment horizontal="left"/>
    </xf>
    <xf numFmtId="0" fontId="1" fillId="6" borderId="7" xfId="0" applyFont="1" applyFill="1" applyBorder="1" applyAlignment="1">
      <alignment horizontal="left"/>
    </xf>
    <xf numFmtId="0" fontId="1" fillId="4" borderId="1" xfId="0" applyFont="1" applyFill="1" applyBorder="1" applyAlignment="1" applyProtection="1">
      <alignment horizontal="center"/>
      <protection locked="0"/>
    </xf>
    <xf numFmtId="0" fontId="1" fillId="4" borderId="7" xfId="0" applyFont="1" applyFill="1" applyBorder="1" applyAlignment="1" applyProtection="1">
      <alignment horizontal="center"/>
      <protection locked="0"/>
    </xf>
    <xf numFmtId="3" fontId="2" fillId="3" borderId="1" xfId="0" applyNumberFormat="1" applyFont="1" applyFill="1" applyBorder="1" applyAlignment="1">
      <alignment horizontal="center"/>
    </xf>
    <xf numFmtId="3" fontId="2" fillId="3" borderId="12" xfId="0" applyNumberFormat="1" applyFont="1" applyFill="1" applyBorder="1" applyAlignment="1">
      <alignment horizontal="center"/>
    </xf>
    <xf numFmtId="3" fontId="2" fillId="3" borderId="7" xfId="0" applyNumberFormat="1" applyFont="1" applyFill="1" applyBorder="1" applyAlignment="1">
      <alignment horizontal="center"/>
    </xf>
    <xf numFmtId="0" fontId="23" fillId="3" borderId="3" xfId="0" applyFont="1" applyFill="1" applyBorder="1" applyAlignment="1">
      <alignment horizontal="left" wrapText="1"/>
    </xf>
    <xf numFmtId="0" fontId="23" fillId="3" borderId="4" xfId="0" applyFont="1" applyFill="1" applyBorder="1" applyAlignment="1">
      <alignment horizontal="left" wrapText="1"/>
    </xf>
    <xf numFmtId="0" fontId="23" fillId="3" borderId="5" xfId="0" applyFont="1" applyFill="1" applyBorder="1" applyAlignment="1">
      <alignment horizontal="left" wrapText="1"/>
    </xf>
    <xf numFmtId="0" fontId="23" fillId="3" borderId="11" xfId="0" applyFont="1" applyFill="1" applyBorder="1" applyAlignment="1">
      <alignment horizontal="left" wrapText="1"/>
    </xf>
    <xf numFmtId="0" fontId="1" fillId="3" borderId="5" xfId="0" applyFont="1" applyFill="1" applyBorder="1" applyAlignment="1">
      <alignment horizontal="right" vertical="top" wrapText="1"/>
    </xf>
    <xf numFmtId="0" fontId="1" fillId="3" borderId="11" xfId="0" applyFont="1" applyFill="1" applyBorder="1" applyAlignment="1">
      <alignment horizontal="right" vertical="top" wrapText="1"/>
    </xf>
    <xf numFmtId="2" fontId="1" fillId="4" borderId="63" xfId="0" applyNumberFormat="1" applyFont="1" applyFill="1" applyBorder="1" applyAlignment="1" applyProtection="1">
      <alignment horizontal="center"/>
      <protection locked="0"/>
    </xf>
    <xf numFmtId="2" fontId="1" fillId="4" borderId="64" xfId="0" applyNumberFormat="1" applyFont="1" applyFill="1" applyBorder="1" applyAlignment="1" applyProtection="1">
      <alignment horizontal="center"/>
      <protection locked="0"/>
    </xf>
    <xf numFmtId="172" fontId="0" fillId="4" borderId="75" xfId="0" applyNumberFormat="1" applyFill="1" applyBorder="1" applyAlignment="1" applyProtection="1">
      <alignment horizontal="center"/>
      <protection locked="0"/>
    </xf>
    <xf numFmtId="172" fontId="0" fillId="4" borderId="72" xfId="0" applyNumberFormat="1" applyFill="1" applyBorder="1" applyAlignment="1" applyProtection="1">
      <alignment horizontal="center"/>
      <protection locked="0"/>
    </xf>
  </cellXfs>
  <cellStyles count="15">
    <cellStyle name="Erotin 2" xfId="2" xr:uid="{00000000-0005-0000-0000-000001000000}"/>
    <cellStyle name="Hyperlinkki" xfId="3" builtinId="8"/>
    <cellStyle name="Normaali" xfId="0" builtinId="0"/>
    <cellStyle name="Normaali 2" xfId="4" xr:uid="{00000000-0005-0000-0000-000004000000}"/>
    <cellStyle name="Normaali 3" xfId="5" xr:uid="{00000000-0005-0000-0000-000005000000}"/>
    <cellStyle name="Normaali 4" xfId="6" xr:uid="{00000000-0005-0000-0000-000006000000}"/>
    <cellStyle name="Normaali 4 2" xfId="14" xr:uid="{00000000-0005-0000-0000-000007000000}"/>
    <cellStyle name="Normal_Sheet1 2" xfId="7" xr:uid="{00000000-0005-0000-0000-000008000000}"/>
    <cellStyle name="Normal_taul 17-22" xfId="8" xr:uid="{00000000-0005-0000-0000-000009000000}"/>
    <cellStyle name="Normal_taul. 2-16_1" xfId="9" xr:uid="{00000000-0005-0000-0000-00000A000000}"/>
    <cellStyle name="Normal_taul. 2-16_2 2" xfId="10" xr:uid="{00000000-0005-0000-0000-00000B000000}"/>
    <cellStyle name="Pilkku" xfId="1" builtinId="3"/>
    <cellStyle name="Prosentti 2" xfId="12" xr:uid="{00000000-0005-0000-0000-00000D000000}"/>
    <cellStyle name="Prosentti 3" xfId="13" xr:uid="{00000000-0005-0000-0000-00000E000000}"/>
    <cellStyle name="Prosenttia" xfId="11" builtinId="5"/>
  </cellStyles>
  <dxfs count="0"/>
  <tableStyles count="0" defaultTableStyle="TableStyleMedium9" defaultPivotStyle="PivotStyleLight16"/>
  <colors>
    <mruColors>
      <color rgb="FFC0CCCC"/>
      <color rgb="FF000000"/>
      <color rgb="FFB4C8E2"/>
      <color rgb="FFCBD9EB"/>
      <color rgb="FFBFD1E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i-FI"/>
              <a:t>Taloudellinen tulos</a:t>
            </a:r>
          </a:p>
        </c:rich>
      </c:tx>
      <c:overlay val="0"/>
    </c:title>
    <c:autoTitleDeleted val="0"/>
    <c:plotArea>
      <c:layout>
        <c:manualLayout>
          <c:layoutTarget val="inner"/>
          <c:xMode val="edge"/>
          <c:yMode val="edge"/>
          <c:x val="0.1950588902446963"/>
          <c:y val="0.19167612998473715"/>
          <c:w val="0.48091173169518031"/>
          <c:h val="0.74980361971020004"/>
        </c:manualLayout>
      </c:layout>
      <c:barChart>
        <c:barDir val="col"/>
        <c:grouping val="stacked"/>
        <c:varyColors val="0"/>
        <c:ser>
          <c:idx val="3"/>
          <c:order val="0"/>
          <c:tx>
            <c:strRef>
              <c:f>'1. Kannattavuuslaskuri'!$B$56</c:f>
              <c:strCache>
                <c:ptCount val="1"/>
                <c:pt idx="0">
                  <c:v>NETTOTULOS</c:v>
                </c:pt>
              </c:strCache>
            </c:strRef>
          </c:tx>
          <c:spPr>
            <a:solidFill>
              <a:srgbClr val="FF0000"/>
            </a:solidFill>
          </c:spPr>
          <c:invertIfNegative val="0"/>
          <c:cat>
            <c:strLit>
              <c:ptCount val="1"/>
            </c:strLit>
          </c:cat>
          <c:val>
            <c:numRef>
              <c:f>'1. Kannattavuuslaskuri'!$E$56</c:f>
              <c:numCache>
                <c:formatCode>#\ ##0_ ;[Red]\-#\ ##0\ </c:formatCode>
                <c:ptCount val="1"/>
                <c:pt idx="0">
                  <c:v>0</c:v>
                </c:pt>
              </c:numCache>
            </c:numRef>
          </c:val>
          <c:extLst>
            <c:ext xmlns:c16="http://schemas.microsoft.com/office/drawing/2014/chart" uri="{C3380CC4-5D6E-409C-BE32-E72D297353CC}">
              <c16:uniqueId val="{00000000-09FF-40DE-A2C4-87F8A4A9B997}"/>
            </c:ext>
          </c:extLst>
        </c:ser>
        <c:ser>
          <c:idx val="0"/>
          <c:order val="1"/>
          <c:tx>
            <c:strRef>
              <c:f>'1. Kannattavuuslaskuri'!$B$51</c:f>
              <c:strCache>
                <c:ptCount val="1"/>
                <c:pt idx="0">
                  <c:v>Kalastuspalkat</c:v>
                </c:pt>
              </c:strCache>
            </c:strRef>
          </c:tx>
          <c:invertIfNegative val="0"/>
          <c:val>
            <c:numRef>
              <c:f>'1. Kannattavuuslaskuri'!$E$51</c:f>
              <c:numCache>
                <c:formatCode>#,##0</c:formatCode>
                <c:ptCount val="1"/>
                <c:pt idx="0">
                  <c:v>0</c:v>
                </c:pt>
              </c:numCache>
            </c:numRef>
          </c:val>
          <c:extLst>
            <c:ext xmlns:c16="http://schemas.microsoft.com/office/drawing/2014/chart" uri="{C3380CC4-5D6E-409C-BE32-E72D297353CC}">
              <c16:uniqueId val="{00000001-09FF-40DE-A2C4-87F8A4A9B997}"/>
            </c:ext>
          </c:extLst>
        </c:ser>
        <c:ser>
          <c:idx val="1"/>
          <c:order val="2"/>
          <c:tx>
            <c:strRef>
              <c:f>'1. Kannattavuuslaskuri'!$B$52</c:f>
              <c:strCache>
                <c:ptCount val="1"/>
                <c:pt idx="0">
                  <c:v>Polttoainekulut</c:v>
                </c:pt>
              </c:strCache>
            </c:strRef>
          </c:tx>
          <c:invertIfNegative val="0"/>
          <c:val>
            <c:numRef>
              <c:f>'1. Kannattavuuslaskuri'!$E$52</c:f>
              <c:numCache>
                <c:formatCode>#,##0</c:formatCode>
                <c:ptCount val="1"/>
                <c:pt idx="0">
                  <c:v>0</c:v>
                </c:pt>
              </c:numCache>
            </c:numRef>
          </c:val>
          <c:extLst>
            <c:ext xmlns:c16="http://schemas.microsoft.com/office/drawing/2014/chart" uri="{C3380CC4-5D6E-409C-BE32-E72D297353CC}">
              <c16:uniqueId val="{00000002-09FF-40DE-A2C4-87F8A4A9B997}"/>
            </c:ext>
          </c:extLst>
        </c:ser>
        <c:ser>
          <c:idx val="4"/>
          <c:order val="3"/>
          <c:tx>
            <c:strRef>
              <c:f>'1. Kannattavuuslaskuri'!$B$53</c:f>
              <c:strCache>
                <c:ptCount val="1"/>
                <c:pt idx="0">
                  <c:v>Muut muuttuvat kulut </c:v>
                </c:pt>
              </c:strCache>
            </c:strRef>
          </c:tx>
          <c:invertIfNegative val="0"/>
          <c:val>
            <c:numRef>
              <c:f>'1. Kannattavuuslaskuri'!$E$53</c:f>
              <c:numCache>
                <c:formatCode>#,##0</c:formatCode>
                <c:ptCount val="1"/>
                <c:pt idx="0">
                  <c:v>0</c:v>
                </c:pt>
              </c:numCache>
            </c:numRef>
          </c:val>
          <c:extLst>
            <c:ext xmlns:c16="http://schemas.microsoft.com/office/drawing/2014/chart" uri="{C3380CC4-5D6E-409C-BE32-E72D297353CC}">
              <c16:uniqueId val="{00000003-09FF-40DE-A2C4-87F8A4A9B997}"/>
            </c:ext>
          </c:extLst>
        </c:ser>
        <c:ser>
          <c:idx val="5"/>
          <c:order val="4"/>
          <c:tx>
            <c:strRef>
              <c:f>'1. Kannattavuuslaskuri'!$B$54</c:f>
              <c:strCache>
                <c:ptCount val="1"/>
                <c:pt idx="0">
                  <c:v>Kiinteät kulut </c:v>
                </c:pt>
              </c:strCache>
            </c:strRef>
          </c:tx>
          <c:invertIfNegative val="0"/>
          <c:val>
            <c:numRef>
              <c:f>'1. Kannattavuuslaskuri'!$E$54</c:f>
              <c:numCache>
                <c:formatCode>#,##0</c:formatCode>
                <c:ptCount val="1"/>
                <c:pt idx="0">
                  <c:v>0</c:v>
                </c:pt>
              </c:numCache>
            </c:numRef>
          </c:val>
          <c:extLst>
            <c:ext xmlns:c16="http://schemas.microsoft.com/office/drawing/2014/chart" uri="{C3380CC4-5D6E-409C-BE32-E72D297353CC}">
              <c16:uniqueId val="{00000004-09FF-40DE-A2C4-87F8A4A9B997}"/>
            </c:ext>
          </c:extLst>
        </c:ser>
        <c:ser>
          <c:idx val="6"/>
          <c:order val="5"/>
          <c:tx>
            <c:strRef>
              <c:f>'1. Kannattavuuslaskuri'!$B$55</c:f>
              <c:strCache>
                <c:ptCount val="1"/>
                <c:pt idx="0">
                  <c:v>Pääomakulut </c:v>
                </c:pt>
              </c:strCache>
            </c:strRef>
          </c:tx>
          <c:invertIfNegative val="0"/>
          <c:val>
            <c:numRef>
              <c:f>'1. Kannattavuuslaskuri'!$E$55</c:f>
              <c:numCache>
                <c:formatCode>#,##0</c:formatCode>
                <c:ptCount val="1"/>
                <c:pt idx="0">
                  <c:v>0</c:v>
                </c:pt>
              </c:numCache>
            </c:numRef>
          </c:val>
          <c:extLst>
            <c:ext xmlns:c16="http://schemas.microsoft.com/office/drawing/2014/chart" uri="{C3380CC4-5D6E-409C-BE32-E72D297353CC}">
              <c16:uniqueId val="{00000005-09FF-40DE-A2C4-87F8A4A9B997}"/>
            </c:ext>
          </c:extLst>
        </c:ser>
        <c:dLbls>
          <c:showLegendKey val="0"/>
          <c:showVal val="0"/>
          <c:showCatName val="0"/>
          <c:showSerName val="0"/>
          <c:showPercent val="0"/>
          <c:showBubbleSize val="0"/>
        </c:dLbls>
        <c:gapWidth val="55"/>
        <c:overlap val="100"/>
        <c:axId val="105423616"/>
        <c:axId val="105425152"/>
      </c:barChart>
      <c:catAx>
        <c:axId val="10542361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i-FI"/>
          </a:p>
        </c:txPr>
        <c:crossAx val="105425152"/>
        <c:crosses val="autoZero"/>
        <c:auto val="1"/>
        <c:lblAlgn val="ctr"/>
        <c:lblOffset val="100"/>
        <c:noMultiLvlLbl val="0"/>
      </c:catAx>
      <c:valAx>
        <c:axId val="105425152"/>
        <c:scaling>
          <c:orientation val="minMax"/>
        </c:scaling>
        <c:delete val="0"/>
        <c:axPos val="l"/>
        <c:majorGridlines>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ajorGridlines>
        <c:title>
          <c:tx>
            <c:rich>
              <a:bodyPr rot="0" vert="wordArtVert"/>
              <a:lstStyle/>
              <a:p>
                <a:pPr algn="ctr">
                  <a:defRPr sz="1100" b="1" i="0" u="none" strike="noStrike" baseline="0">
                    <a:solidFill>
                      <a:srgbClr val="000000"/>
                    </a:solidFill>
                    <a:latin typeface="Calibri"/>
                    <a:ea typeface="Calibri"/>
                    <a:cs typeface="Calibri"/>
                  </a:defRPr>
                </a:pPr>
                <a:r>
                  <a:rPr lang="fi-FI" sz="1100"/>
                  <a:t>€</a:t>
                </a:r>
              </a:p>
            </c:rich>
          </c:tx>
          <c:layout>
            <c:manualLayout>
              <c:xMode val="edge"/>
              <c:yMode val="edge"/>
              <c:x val="1.6677319100802782E-2"/>
              <c:y val="0.474341429152348"/>
            </c:manualLayout>
          </c:layout>
          <c:overlay val="0"/>
        </c:title>
        <c:numFmt formatCode="#\ ##0_ ;[Red]\-#\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i-FI"/>
          </a:p>
        </c:txPr>
        <c:crossAx val="105423616"/>
        <c:crosses val="autoZero"/>
        <c:crossBetween val="between"/>
      </c:valAx>
      <c:spPr>
        <a:solidFill>
          <a:schemeClr val="accent5">
            <a:lumMod val="20000"/>
            <a:lumOff val="80000"/>
          </a:schemeClr>
        </a:solidFill>
        <a:ln>
          <a:solidFill>
            <a:schemeClr val="accent1"/>
          </a:solidFill>
        </a:ln>
      </c:spPr>
    </c:plotArea>
    <c:legend>
      <c:legendPos val="r"/>
      <c:layout>
        <c:manualLayout>
          <c:xMode val="edge"/>
          <c:yMode val="edge"/>
          <c:x val="0.69816448676133058"/>
          <c:y val="0.33216369080626174"/>
          <c:w val="0.30183557897993124"/>
          <c:h val="0.50766591678941564"/>
        </c:manualLayout>
      </c:layout>
      <c:overlay val="0"/>
      <c:txPr>
        <a:bodyPr/>
        <a:lstStyle/>
        <a:p>
          <a:pPr>
            <a:defRPr sz="1000" b="0" i="0" u="none" strike="noStrike" baseline="0">
              <a:solidFill>
                <a:srgbClr val="000000"/>
              </a:solidFill>
              <a:latin typeface="Calibri"/>
              <a:ea typeface="Calibri"/>
              <a:cs typeface="Calibri"/>
            </a:defRPr>
          </a:pPr>
          <a:endParaRPr lang="fi-FI"/>
        </a:p>
      </c:txPr>
    </c:legend>
    <c:plotVisOnly val="1"/>
    <c:dispBlanksAs val="gap"/>
    <c:showDLblsOverMax val="0"/>
  </c:chart>
  <c:spPr>
    <a:solidFill>
      <a:schemeClr val="accent5">
        <a:lumMod val="60000"/>
        <a:lumOff val="40000"/>
      </a:schemeClr>
    </a:solidFill>
  </c:spPr>
  <c:txPr>
    <a:bodyPr/>
    <a:lstStyle/>
    <a:p>
      <a:pPr>
        <a:defRPr sz="1000" b="0" i="0" u="none" strike="noStrike" baseline="0">
          <a:solidFill>
            <a:srgbClr val="000000"/>
          </a:solidFill>
          <a:latin typeface="Calibri"/>
          <a:ea typeface="Calibri"/>
          <a:cs typeface="Calibri"/>
        </a:defRPr>
      </a:pPr>
      <a:endParaRPr lang="fi-FI"/>
    </a:p>
  </c:txPr>
  <c:printSettings>
    <c:headerFooter/>
    <c:pageMargins b="0.75000000000001366" l="0.70000000000000062" r="0.70000000000000062" t="0.75000000000001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29058447392063785"/>
          <c:y val="3.1552755905511806E-2"/>
        </c:manualLayout>
      </c:layout>
      <c:overlay val="0"/>
      <c:spPr>
        <a:noFill/>
        <a:ln w="25400">
          <a:noFill/>
        </a:ln>
      </c:spPr>
    </c:title>
    <c:autoTitleDeleted val="0"/>
    <c:plotArea>
      <c:layout>
        <c:manualLayout>
          <c:layoutTarget val="inner"/>
          <c:xMode val="edge"/>
          <c:yMode val="edge"/>
          <c:x val="0.17857157011874564"/>
          <c:y val="0.13834967852804361"/>
          <c:w val="0.76298761778012691"/>
          <c:h val="0.67475808124203762"/>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Saalis'!$B$9:$B$20</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Saalis'!$D$9:$D$20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663-4EC1-B82B-28C73D580A08}"/>
            </c:ext>
          </c:extLst>
        </c:ser>
        <c:dLbls>
          <c:showLegendKey val="0"/>
          <c:showVal val="0"/>
          <c:showCatName val="0"/>
          <c:showSerName val="0"/>
          <c:showPercent val="0"/>
          <c:showBubbleSize val="0"/>
        </c:dLbls>
        <c:gapWidth val="50"/>
        <c:axId val="115596672"/>
        <c:axId val="115537024"/>
      </c:barChart>
      <c:catAx>
        <c:axId val="115596672"/>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537024"/>
        <c:crosses val="autoZero"/>
        <c:auto val="1"/>
        <c:lblAlgn val="ctr"/>
        <c:lblOffset val="100"/>
        <c:tickLblSkip val="1"/>
        <c:tickMarkSkip val="1"/>
        <c:noMultiLvlLbl val="0"/>
      </c:catAx>
      <c:valAx>
        <c:axId val="115537024"/>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649368493367852"/>
              <c:y val="0.90776824146981661"/>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596672"/>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44600129082225382"/>
          <c:y val="4.1339107611548562E-2"/>
        </c:manualLayout>
      </c:layout>
      <c:overlay val="0"/>
      <c:spPr>
        <a:noFill/>
        <a:ln w="25400">
          <a:noFill/>
        </a:ln>
      </c:spPr>
    </c:title>
    <c:autoTitleDeleted val="0"/>
    <c:plotArea>
      <c:layout>
        <c:manualLayout>
          <c:layoutTarget val="inner"/>
          <c:xMode val="edge"/>
          <c:yMode val="edge"/>
          <c:x val="0.17150815551071474"/>
          <c:y val="0.14111955672035792"/>
          <c:w val="0.76956284114430151"/>
          <c:h val="0.6934323045741726"/>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Saalis'!$T$119:$T$130</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Saalis'!$V$119:$V$130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AD5-4D54-A131-112419101C44}"/>
            </c:ext>
          </c:extLst>
        </c:ser>
        <c:dLbls>
          <c:showLegendKey val="0"/>
          <c:showVal val="0"/>
          <c:showCatName val="0"/>
          <c:showSerName val="0"/>
          <c:showPercent val="0"/>
          <c:showBubbleSize val="0"/>
        </c:dLbls>
        <c:gapWidth val="50"/>
        <c:axId val="115713152"/>
        <c:axId val="115714688"/>
      </c:barChart>
      <c:catAx>
        <c:axId val="115713152"/>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714688"/>
        <c:crosses val="autoZero"/>
        <c:auto val="1"/>
        <c:lblAlgn val="ctr"/>
        <c:lblOffset val="100"/>
        <c:tickLblSkip val="1"/>
        <c:tickMarkSkip val="1"/>
        <c:noMultiLvlLbl val="0"/>
      </c:catAx>
      <c:valAx>
        <c:axId val="115714688"/>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545484273482211"/>
              <c:y val="0.91241076115484343"/>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15713152"/>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46383375059995591"/>
          <c:y val="3.1707349081365896E-2"/>
        </c:manualLayout>
      </c:layout>
      <c:overlay val="0"/>
      <c:spPr>
        <a:noFill/>
        <a:ln w="25400">
          <a:noFill/>
        </a:ln>
      </c:spPr>
    </c:title>
    <c:autoTitleDeleted val="0"/>
    <c:plotArea>
      <c:layout>
        <c:manualLayout>
          <c:layoutTarget val="inner"/>
          <c:xMode val="edge"/>
          <c:yMode val="edge"/>
          <c:x val="0.16844698242467324"/>
          <c:y val="0.13414644597996694"/>
          <c:w val="0.77798165137616382"/>
          <c:h val="0.6975609756097555"/>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Saalis'!$T$163:$T$174</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Saalis'!$V$163:$V$174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34-42C6-B92E-03944B041155}"/>
            </c:ext>
          </c:extLst>
        </c:ser>
        <c:dLbls>
          <c:showLegendKey val="0"/>
          <c:showVal val="0"/>
          <c:showCatName val="0"/>
          <c:showSerName val="0"/>
          <c:showPercent val="0"/>
          <c:showBubbleSize val="0"/>
        </c:dLbls>
        <c:gapWidth val="50"/>
        <c:axId val="115751168"/>
        <c:axId val="115761152"/>
      </c:barChart>
      <c:catAx>
        <c:axId val="115751168"/>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761152"/>
        <c:crosses val="autoZero"/>
        <c:auto val="1"/>
        <c:lblAlgn val="ctr"/>
        <c:lblOffset val="100"/>
        <c:tickLblSkip val="1"/>
        <c:tickMarkSkip val="1"/>
        <c:noMultiLvlLbl val="0"/>
      </c:catAx>
      <c:valAx>
        <c:axId val="115761152"/>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49908270527140647"/>
              <c:y val="0.9097559055118116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751168"/>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39145379554829063"/>
          <c:y val="3.2019710771447892E-2"/>
        </c:manualLayout>
      </c:layout>
      <c:overlay val="0"/>
      <c:spPr>
        <a:noFill/>
        <a:ln w="25400">
          <a:noFill/>
        </a:ln>
      </c:spPr>
    </c:title>
    <c:autoTitleDeleted val="0"/>
    <c:plotArea>
      <c:layout>
        <c:manualLayout>
          <c:layoutTarget val="inner"/>
          <c:xMode val="edge"/>
          <c:yMode val="edge"/>
          <c:x val="0.1675216471715531"/>
          <c:y val="0.14039425751695594"/>
          <c:w val="0.78461669440553961"/>
          <c:h val="0.66995154464231665"/>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Saalis'!$T$75:$T$86</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Saalis'!$V$75:$V$86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7C-48A9-8D59-4753CAEB94CF}"/>
            </c:ext>
          </c:extLst>
        </c:ser>
        <c:dLbls>
          <c:showLegendKey val="0"/>
          <c:showVal val="0"/>
          <c:showCatName val="0"/>
          <c:showSerName val="0"/>
          <c:showPercent val="0"/>
          <c:showBubbleSize val="0"/>
        </c:dLbls>
        <c:gapWidth val="50"/>
        <c:axId val="115768704"/>
        <c:axId val="115938432"/>
      </c:barChart>
      <c:catAx>
        <c:axId val="115768704"/>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938432"/>
        <c:crosses val="autoZero"/>
        <c:auto val="1"/>
        <c:lblAlgn val="ctr"/>
        <c:lblOffset val="100"/>
        <c:tickLblSkip val="1"/>
        <c:tickMarkSkip val="1"/>
        <c:noMultiLvlLbl val="0"/>
      </c:catAx>
      <c:valAx>
        <c:axId val="115938432"/>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940246105599063"/>
              <c:y val="0.90394163964799723"/>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768704"/>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39145393010085389"/>
          <c:y val="3.201968503937009E-2"/>
        </c:manualLayout>
      </c:layout>
      <c:overlay val="0"/>
      <c:spPr>
        <a:noFill/>
        <a:ln w="25400">
          <a:noFill/>
        </a:ln>
      </c:spPr>
    </c:title>
    <c:autoTitleDeleted val="0"/>
    <c:plotArea>
      <c:layout>
        <c:manualLayout>
          <c:layoutTarget val="inner"/>
          <c:xMode val="edge"/>
          <c:yMode val="edge"/>
          <c:x val="0.1675216471715531"/>
          <c:y val="0.14039425751695594"/>
          <c:w val="0.78461669440553961"/>
          <c:h val="0.66995154464231665"/>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Saalis'!$T$97:$T$108</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Saalis'!$V$97:$V$108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56-4A0F-9EC6-9045DD4C7E29}"/>
            </c:ext>
          </c:extLst>
        </c:ser>
        <c:dLbls>
          <c:showLegendKey val="0"/>
          <c:showVal val="0"/>
          <c:showCatName val="0"/>
          <c:showSerName val="0"/>
          <c:showPercent val="0"/>
          <c:showBubbleSize val="0"/>
        </c:dLbls>
        <c:gapWidth val="50"/>
        <c:axId val="115979008"/>
        <c:axId val="115980544"/>
      </c:barChart>
      <c:catAx>
        <c:axId val="115979008"/>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980544"/>
        <c:crosses val="autoZero"/>
        <c:auto val="1"/>
        <c:lblAlgn val="ctr"/>
        <c:lblOffset val="100"/>
        <c:tickLblSkip val="1"/>
        <c:tickMarkSkip val="1"/>
        <c:noMultiLvlLbl val="0"/>
      </c:catAx>
      <c:valAx>
        <c:axId val="115980544"/>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940254178751565"/>
              <c:y val="0.90394173228348984"/>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979008"/>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4377249412450896"/>
          <c:y val="3.5714341677439601E-2"/>
        </c:manualLayout>
      </c:layout>
      <c:overlay val="0"/>
      <c:spPr>
        <a:noFill/>
        <a:ln w="25400">
          <a:noFill/>
        </a:ln>
      </c:spPr>
    </c:title>
    <c:autoTitleDeleted val="0"/>
    <c:plotArea>
      <c:layout>
        <c:manualLayout>
          <c:layoutTarget val="inner"/>
          <c:xMode val="edge"/>
          <c:yMode val="edge"/>
          <c:x val="0.16903921646377731"/>
          <c:y val="0.16012171197789138"/>
          <c:w val="0.53736701492213057"/>
          <c:h val="0.64909935238911654"/>
        </c:manualLayout>
      </c:layout>
      <c:barChart>
        <c:barDir val="col"/>
        <c:grouping val="clustered"/>
        <c:varyColors val="0"/>
        <c:ser>
          <c:idx val="0"/>
          <c:order val="0"/>
          <c:tx>
            <c:strRef>
              <c:f>'3 Saalis'!$T$97</c:f>
              <c:strCache>
                <c:ptCount val="1"/>
                <c:pt idx="0">
                  <c:v>Silakka</c:v>
                </c:pt>
              </c:strCache>
            </c:strRef>
          </c:tx>
          <c:spPr>
            <a:solidFill>
              <a:srgbClr val="9999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Saalis'!$W$97:$AH$97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F3-4B37-B076-0AD8FD893308}"/>
            </c:ext>
          </c:extLst>
        </c:ser>
        <c:dLbls>
          <c:showLegendKey val="0"/>
          <c:showVal val="0"/>
          <c:showCatName val="0"/>
          <c:showSerName val="0"/>
          <c:showPercent val="0"/>
          <c:showBubbleSize val="0"/>
        </c:dLbls>
        <c:gapWidth val="50"/>
        <c:axId val="116086656"/>
        <c:axId val="116105216"/>
      </c:barChart>
      <c:catAx>
        <c:axId val="11608665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8078328444238585"/>
              <c:y val="0.8979592849401286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105216"/>
        <c:crosses val="autoZero"/>
        <c:auto val="1"/>
        <c:lblAlgn val="ctr"/>
        <c:lblOffset val="100"/>
        <c:tickLblSkip val="1"/>
        <c:tickMarkSkip val="1"/>
        <c:noMultiLvlLbl val="0"/>
      </c:catAx>
      <c:valAx>
        <c:axId val="116105216"/>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2.669034017806686E-2"/>
              <c:y val="0.41581619461747366"/>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086656"/>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6875165114165844"/>
          <c:y val="0.50587848160770943"/>
          <c:w val="0.17903539018407175"/>
          <c:h val="5.6122275760308815E-2"/>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2228165147119768"/>
          <c:y val="3.0927101854203751E-2"/>
        </c:manualLayout>
      </c:layout>
      <c:overlay val="0"/>
      <c:spPr>
        <a:noFill/>
        <a:ln w="25400">
          <a:noFill/>
        </a:ln>
      </c:spPr>
    </c:title>
    <c:autoTitleDeleted val="0"/>
    <c:plotArea>
      <c:layout>
        <c:manualLayout>
          <c:layoutTarget val="inner"/>
          <c:xMode val="edge"/>
          <c:yMode val="edge"/>
          <c:x val="0.17060175653253248"/>
          <c:y val="0.12780949112150491"/>
          <c:w val="0.5276301519854194"/>
          <c:h val="0.69329984156010405"/>
        </c:manualLayout>
      </c:layout>
      <c:barChart>
        <c:barDir val="col"/>
        <c:grouping val="stacked"/>
        <c:varyColors val="0"/>
        <c:ser>
          <c:idx val="0"/>
          <c:order val="0"/>
          <c:tx>
            <c:strRef>
              <c:f>'3 Saalis'!$T$98</c:f>
              <c:strCache>
                <c:ptCount val="1"/>
                <c:pt idx="0">
                  <c:v>Muikku</c:v>
                </c:pt>
              </c:strCache>
            </c:strRef>
          </c:tx>
          <c:spPr>
            <a:solidFill>
              <a:srgbClr val="9999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Saalis'!$W$98:$AH$98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F7E-4482-B222-DE441FDCC169}"/>
            </c:ext>
          </c:extLst>
        </c:ser>
        <c:ser>
          <c:idx val="1"/>
          <c:order val="1"/>
          <c:tx>
            <c:strRef>
              <c:f>'3 Saalis'!$T$99</c:f>
              <c:strCache>
                <c:ptCount val="1"/>
                <c:pt idx="0">
                  <c:v>Kuha</c:v>
                </c:pt>
              </c:strCache>
            </c:strRef>
          </c:tx>
          <c:spPr>
            <a:solidFill>
              <a:srgbClr val="993366"/>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Saalis'!$W$99:$AH$99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F7E-4482-B222-DE441FDCC169}"/>
            </c:ext>
          </c:extLst>
        </c:ser>
        <c:ser>
          <c:idx val="2"/>
          <c:order val="2"/>
          <c:tx>
            <c:strRef>
              <c:f>'3 Saalis'!$T$100</c:f>
              <c:strCache>
                <c:ptCount val="1"/>
                <c:pt idx="0">
                  <c:v>Ahven</c:v>
                </c:pt>
              </c:strCache>
            </c:strRef>
          </c:tx>
          <c:spPr>
            <a:solidFill>
              <a:srgbClr val="FFFFCC"/>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Saalis'!$W$100:$AH$100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CF7E-4482-B222-DE441FDCC169}"/>
            </c:ext>
          </c:extLst>
        </c:ser>
        <c:ser>
          <c:idx val="3"/>
          <c:order val="3"/>
          <c:tx>
            <c:strRef>
              <c:f>'3 Saalis'!$T$101</c:f>
              <c:strCache>
                <c:ptCount val="1"/>
                <c:pt idx="0">
                  <c:v>Siika</c:v>
                </c:pt>
              </c:strCache>
            </c:strRef>
          </c:tx>
          <c:spPr>
            <a:solidFill>
              <a:srgbClr val="CCFF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Saalis'!$W$101:$AH$101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CF7E-4482-B222-DE441FDCC169}"/>
            </c:ext>
          </c:extLst>
        </c:ser>
        <c:ser>
          <c:idx val="4"/>
          <c:order val="4"/>
          <c:tx>
            <c:strRef>
              <c:f>'3 Saalis'!$T$102</c:f>
              <c:strCache>
                <c:ptCount val="1"/>
                <c:pt idx="0">
                  <c:v>Hauki</c:v>
                </c:pt>
              </c:strCache>
            </c:strRef>
          </c:tx>
          <c:spPr>
            <a:solidFill>
              <a:srgbClr val="660066"/>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Saalis'!$W$102:$AH$102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CF7E-4482-B222-DE441FDCC169}"/>
            </c:ext>
          </c:extLst>
        </c:ser>
        <c:ser>
          <c:idx val="5"/>
          <c:order val="5"/>
          <c:tx>
            <c:strRef>
              <c:f>'3 Saalis'!$T$103</c:f>
              <c:strCache>
                <c:ptCount val="1"/>
                <c:pt idx="0">
                  <c:v>Made</c:v>
                </c:pt>
              </c:strCache>
            </c:strRef>
          </c:tx>
          <c:spPr>
            <a:solidFill>
              <a:srgbClr val="FF8080"/>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Saalis'!$W$103:$AH$103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CF7E-4482-B222-DE441FDCC169}"/>
            </c:ext>
          </c:extLst>
        </c:ser>
        <c:ser>
          <c:idx val="6"/>
          <c:order val="6"/>
          <c:tx>
            <c:strRef>
              <c:f>'3 Saalis'!$T$104</c:f>
              <c:strCache>
                <c:ptCount val="1"/>
                <c:pt idx="0">
                  <c:v>Lohi/taimen</c:v>
                </c:pt>
              </c:strCache>
            </c:strRef>
          </c:tx>
          <c:spPr>
            <a:solidFill>
              <a:srgbClr val="0066CC"/>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Saalis'!$W$104:$AH$104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CF7E-4482-B222-DE441FDCC169}"/>
            </c:ext>
          </c:extLst>
        </c:ser>
        <c:ser>
          <c:idx val="7"/>
          <c:order val="7"/>
          <c:tx>
            <c:strRef>
              <c:f>'3 Saalis'!$T$105</c:f>
              <c:strCache>
                <c:ptCount val="1"/>
                <c:pt idx="0">
                  <c:v>Lahna</c:v>
                </c:pt>
              </c:strCache>
            </c:strRef>
          </c:tx>
          <c:spPr>
            <a:solidFill>
              <a:srgbClr val="CCCC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Saalis'!$W$105:$AH$105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CF7E-4482-B222-DE441FDCC169}"/>
            </c:ext>
          </c:extLst>
        </c:ser>
        <c:ser>
          <c:idx val="8"/>
          <c:order val="8"/>
          <c:tx>
            <c:strRef>
              <c:f>'3 Saalis'!$T$106</c:f>
              <c:strCache>
                <c:ptCount val="1"/>
                <c:pt idx="0">
                  <c:v>Särki</c:v>
                </c:pt>
              </c:strCache>
            </c:strRef>
          </c:tx>
          <c:spPr>
            <a:solidFill>
              <a:srgbClr val="000080"/>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Saalis'!$W$106:$AH$106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CF7E-4482-B222-DE441FDCC169}"/>
            </c:ext>
          </c:extLst>
        </c:ser>
        <c:ser>
          <c:idx val="9"/>
          <c:order val="9"/>
          <c:tx>
            <c:strRef>
              <c:f>'3 Saalis'!$T$107</c:f>
              <c:strCache>
                <c:ptCount val="1"/>
                <c:pt idx="0">
                  <c:v>Kuore</c:v>
                </c:pt>
              </c:strCache>
            </c:strRef>
          </c:tx>
          <c:spPr>
            <a:solidFill>
              <a:srgbClr val="FF00FF"/>
            </a:solidFill>
            <a:ln w="12700">
              <a:solidFill>
                <a:srgbClr val="000000"/>
              </a:solidFill>
              <a:prstDash val="solid"/>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Saalis'!$W$107:$AH$107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CF7E-4482-B222-DE441FDCC169}"/>
            </c:ext>
          </c:extLst>
        </c:ser>
        <c:ser>
          <c:idx val="10"/>
          <c:order val="10"/>
          <c:tx>
            <c:strRef>
              <c:f>'3 Saalis'!$T$108</c:f>
              <c:strCache>
                <c:ptCount val="1"/>
                <c:pt idx="0">
                  <c:v>Muu kala</c:v>
                </c:pt>
              </c:strCache>
            </c:strRef>
          </c:tx>
          <c:spPr>
            <a:ln>
              <a:solidFill>
                <a:sysClr val="windowText" lastClr="000000"/>
              </a:solidFill>
            </a:ln>
          </c:spPr>
          <c:invertIfNegative val="0"/>
          <c:cat>
            <c:numRef>
              <c:f>'3 Saalis'!$W$96:$AH$96</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Saalis'!$W$108:$AH$108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CF7E-4482-B222-DE441FDCC169}"/>
            </c:ext>
          </c:extLst>
        </c:ser>
        <c:dLbls>
          <c:showLegendKey val="0"/>
          <c:showVal val="0"/>
          <c:showCatName val="0"/>
          <c:showSerName val="0"/>
          <c:showPercent val="0"/>
          <c:showBubbleSize val="0"/>
        </c:dLbls>
        <c:gapWidth val="50"/>
        <c:overlap val="100"/>
        <c:axId val="116003200"/>
        <c:axId val="116005120"/>
      </c:barChart>
      <c:catAx>
        <c:axId val="11600320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363724271308179"/>
              <c:y val="0.89433083891808862"/>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005120"/>
        <c:crosses val="autoZero"/>
        <c:auto val="1"/>
        <c:lblAlgn val="ctr"/>
        <c:lblOffset val="100"/>
        <c:tickLblSkip val="1"/>
        <c:tickMarkSkip val="1"/>
        <c:noMultiLvlLbl val="0"/>
      </c:catAx>
      <c:valAx>
        <c:axId val="11600512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2085750794308608E-2"/>
              <c:y val="0.38144441622217218"/>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003200"/>
        <c:crosses val="autoZero"/>
        <c:crossBetween val="between"/>
      </c:valAx>
      <c:spPr>
        <a:solidFill>
          <a:srgbClr val="CCFFFF"/>
        </a:solidFill>
        <a:ln w="12700">
          <a:solidFill>
            <a:srgbClr val="CCFFFF"/>
          </a:solidFill>
          <a:prstDash val="solid"/>
        </a:ln>
      </c:spPr>
    </c:plotArea>
    <c:legend>
      <c:legendPos val="r"/>
      <c:layout>
        <c:manualLayout>
          <c:xMode val="edge"/>
          <c:yMode val="edge"/>
          <c:x val="0.73252010070037199"/>
          <c:y val="0.17268066772612392"/>
          <c:w val="0.17301146567205691"/>
          <c:h val="0.6494365747705857"/>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45800887553530095"/>
          <c:y val="3.1630446194225802E-2"/>
        </c:manualLayout>
      </c:layout>
      <c:overlay val="0"/>
      <c:spPr>
        <a:noFill/>
        <a:ln w="25400">
          <a:noFill/>
        </a:ln>
      </c:spPr>
    </c:title>
    <c:autoTitleDeleted val="0"/>
    <c:plotArea>
      <c:layout>
        <c:manualLayout>
          <c:layoutTarget val="inner"/>
          <c:xMode val="edge"/>
          <c:yMode val="edge"/>
          <c:x val="0.17150815551071474"/>
          <c:y val="0.14111955672035792"/>
          <c:w val="0.76956284114430151"/>
          <c:h val="0.6934323045741726"/>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Saalis'!$T$141:$T$152</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Saalis'!$V$141:$V$152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55C-4544-A504-FA2CCF613B15}"/>
            </c:ext>
          </c:extLst>
        </c:ser>
        <c:dLbls>
          <c:showLegendKey val="0"/>
          <c:showVal val="0"/>
          <c:showCatName val="0"/>
          <c:showSerName val="0"/>
          <c:showPercent val="0"/>
          <c:showBubbleSize val="0"/>
        </c:dLbls>
        <c:gapWidth val="50"/>
        <c:axId val="116021504"/>
        <c:axId val="116051968"/>
      </c:barChart>
      <c:catAx>
        <c:axId val="116021504"/>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051968"/>
        <c:crosses val="autoZero"/>
        <c:auto val="1"/>
        <c:lblAlgn val="ctr"/>
        <c:lblOffset val="100"/>
        <c:tickLblSkip val="1"/>
        <c:tickMarkSkip val="1"/>
        <c:noMultiLvlLbl val="0"/>
      </c:catAx>
      <c:valAx>
        <c:axId val="116051968"/>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50545465533913525"/>
              <c:y val="0.91241076115484343"/>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116021504"/>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2401466702988318"/>
          <c:y val="3.5989553674867981E-2"/>
        </c:manualLayout>
      </c:layout>
      <c:overlay val="0"/>
      <c:spPr>
        <a:noFill/>
        <a:ln w="25400">
          <a:noFill/>
        </a:ln>
      </c:spPr>
    </c:title>
    <c:autoTitleDeleted val="0"/>
    <c:plotArea>
      <c:layout>
        <c:manualLayout>
          <c:layoutTarget val="inner"/>
          <c:xMode val="edge"/>
          <c:yMode val="edge"/>
          <c:x val="0.15381151736204701"/>
          <c:y val="0.15768198409577391"/>
          <c:w val="0.58960676664490652"/>
          <c:h val="0.66580976863754948"/>
        </c:manualLayout>
      </c:layout>
      <c:barChart>
        <c:barDir val="col"/>
        <c:grouping val="clustered"/>
        <c:varyColors val="0"/>
        <c:ser>
          <c:idx val="0"/>
          <c:order val="0"/>
          <c:tx>
            <c:strRef>
              <c:f>'3 Saalis'!$T$141</c:f>
              <c:strCache>
                <c:ptCount val="1"/>
                <c:pt idx="0">
                  <c:v>Silakka</c:v>
                </c:pt>
              </c:strCache>
            </c:strRef>
          </c:tx>
          <c:spPr>
            <a:solidFill>
              <a:srgbClr val="9999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Saalis'!$W$141:$AH$141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D1-4DAE-A28A-68268FBE6A86}"/>
            </c:ext>
          </c:extLst>
        </c:ser>
        <c:dLbls>
          <c:showLegendKey val="0"/>
          <c:showVal val="0"/>
          <c:showCatName val="0"/>
          <c:showSerName val="0"/>
          <c:showPercent val="0"/>
          <c:showBubbleSize val="0"/>
        </c:dLbls>
        <c:gapWidth val="50"/>
        <c:axId val="116145536"/>
        <c:axId val="116270592"/>
      </c:barChart>
      <c:catAx>
        <c:axId val="11614553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200772267552228"/>
              <c:y val="0.89974303087425789"/>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270592"/>
        <c:crosses val="autoZero"/>
        <c:auto val="1"/>
        <c:lblAlgn val="ctr"/>
        <c:lblOffset val="100"/>
        <c:tickLblSkip val="1"/>
        <c:tickMarkSkip val="1"/>
        <c:noMultiLvlLbl val="0"/>
      </c:catAx>
      <c:valAx>
        <c:axId val="116270592"/>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8.266462573562481E-3"/>
              <c:y val="0.41131083053521594"/>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145536"/>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9618795591241809"/>
          <c:y val="0.49614415405056911"/>
          <c:w val="0.18770460117527102"/>
          <c:h val="5.6555199926692452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19429617350462774"/>
          <c:y val="3.0769171094992429E-2"/>
        </c:manualLayout>
      </c:layout>
      <c:overlay val="0"/>
      <c:spPr>
        <a:noFill/>
        <a:ln w="25400">
          <a:noFill/>
        </a:ln>
      </c:spPr>
    </c:title>
    <c:autoTitleDeleted val="0"/>
    <c:plotArea>
      <c:layout>
        <c:manualLayout>
          <c:layoutTarget val="inner"/>
          <c:xMode val="edge"/>
          <c:yMode val="edge"/>
          <c:x val="0.17485652068874152"/>
          <c:y val="0.13589795067007351"/>
          <c:w val="0.53654282347165949"/>
          <c:h val="0.68461709890098887"/>
        </c:manualLayout>
      </c:layout>
      <c:barChart>
        <c:barDir val="col"/>
        <c:grouping val="stacked"/>
        <c:varyColors val="0"/>
        <c:ser>
          <c:idx val="0"/>
          <c:order val="0"/>
          <c:tx>
            <c:strRef>
              <c:f>'3 Saalis'!$T$142</c:f>
              <c:strCache>
                <c:ptCount val="1"/>
                <c:pt idx="0">
                  <c:v>Muikku</c:v>
                </c:pt>
              </c:strCache>
            </c:strRef>
          </c:tx>
          <c:spPr>
            <a:solidFill>
              <a:srgbClr val="9999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Saalis'!$W$142:$AH$142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A1-4D86-BC5D-C5430BC7FC92}"/>
            </c:ext>
          </c:extLst>
        </c:ser>
        <c:ser>
          <c:idx val="1"/>
          <c:order val="1"/>
          <c:tx>
            <c:strRef>
              <c:f>'3 Saalis'!$T$143</c:f>
              <c:strCache>
                <c:ptCount val="1"/>
                <c:pt idx="0">
                  <c:v>Kuha</c:v>
                </c:pt>
              </c:strCache>
            </c:strRef>
          </c:tx>
          <c:spPr>
            <a:solidFill>
              <a:srgbClr val="993366"/>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Saalis'!$W$143:$AH$143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0A1-4D86-BC5D-C5430BC7FC92}"/>
            </c:ext>
          </c:extLst>
        </c:ser>
        <c:ser>
          <c:idx val="2"/>
          <c:order val="2"/>
          <c:tx>
            <c:strRef>
              <c:f>'3 Saalis'!$T$144</c:f>
              <c:strCache>
                <c:ptCount val="1"/>
                <c:pt idx="0">
                  <c:v>Ahven</c:v>
                </c:pt>
              </c:strCache>
            </c:strRef>
          </c:tx>
          <c:spPr>
            <a:solidFill>
              <a:srgbClr val="FFFFCC"/>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Saalis'!$W$144:$AH$144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0A1-4D86-BC5D-C5430BC7FC92}"/>
            </c:ext>
          </c:extLst>
        </c:ser>
        <c:ser>
          <c:idx val="3"/>
          <c:order val="3"/>
          <c:tx>
            <c:strRef>
              <c:f>'3 Saalis'!$T$145</c:f>
              <c:strCache>
                <c:ptCount val="1"/>
                <c:pt idx="0">
                  <c:v>Siika</c:v>
                </c:pt>
              </c:strCache>
            </c:strRef>
          </c:tx>
          <c:spPr>
            <a:solidFill>
              <a:srgbClr val="CCFF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Saalis'!$W$145:$AH$145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0A1-4D86-BC5D-C5430BC7FC92}"/>
            </c:ext>
          </c:extLst>
        </c:ser>
        <c:ser>
          <c:idx val="4"/>
          <c:order val="4"/>
          <c:tx>
            <c:strRef>
              <c:f>'3 Saalis'!$T$146</c:f>
              <c:strCache>
                <c:ptCount val="1"/>
                <c:pt idx="0">
                  <c:v>Hauki</c:v>
                </c:pt>
              </c:strCache>
            </c:strRef>
          </c:tx>
          <c:spPr>
            <a:solidFill>
              <a:srgbClr val="660066"/>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Saalis'!$W$146:$AH$146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0A1-4D86-BC5D-C5430BC7FC92}"/>
            </c:ext>
          </c:extLst>
        </c:ser>
        <c:ser>
          <c:idx val="5"/>
          <c:order val="5"/>
          <c:tx>
            <c:strRef>
              <c:f>'3 Saalis'!$T$147</c:f>
              <c:strCache>
                <c:ptCount val="1"/>
                <c:pt idx="0">
                  <c:v>Made</c:v>
                </c:pt>
              </c:strCache>
            </c:strRef>
          </c:tx>
          <c:spPr>
            <a:solidFill>
              <a:srgbClr val="FF8080"/>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Saalis'!$W$147:$AH$147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B0A1-4D86-BC5D-C5430BC7FC92}"/>
            </c:ext>
          </c:extLst>
        </c:ser>
        <c:ser>
          <c:idx val="6"/>
          <c:order val="6"/>
          <c:tx>
            <c:strRef>
              <c:f>'3 Saalis'!$T$148</c:f>
              <c:strCache>
                <c:ptCount val="1"/>
                <c:pt idx="0">
                  <c:v>Lohi/taimen</c:v>
                </c:pt>
              </c:strCache>
            </c:strRef>
          </c:tx>
          <c:spPr>
            <a:solidFill>
              <a:srgbClr val="0066CC"/>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Saalis'!$W$148:$AH$148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B0A1-4D86-BC5D-C5430BC7FC92}"/>
            </c:ext>
          </c:extLst>
        </c:ser>
        <c:ser>
          <c:idx val="7"/>
          <c:order val="7"/>
          <c:tx>
            <c:strRef>
              <c:f>'3 Saalis'!$T$149</c:f>
              <c:strCache>
                <c:ptCount val="1"/>
                <c:pt idx="0">
                  <c:v>Lahna</c:v>
                </c:pt>
              </c:strCache>
            </c:strRef>
          </c:tx>
          <c:spPr>
            <a:solidFill>
              <a:srgbClr val="CCCC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Saalis'!$W$149:$AH$149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B0A1-4D86-BC5D-C5430BC7FC92}"/>
            </c:ext>
          </c:extLst>
        </c:ser>
        <c:ser>
          <c:idx val="8"/>
          <c:order val="8"/>
          <c:tx>
            <c:strRef>
              <c:f>'3 Saalis'!$T$150</c:f>
              <c:strCache>
                <c:ptCount val="1"/>
                <c:pt idx="0">
                  <c:v>Särki</c:v>
                </c:pt>
              </c:strCache>
            </c:strRef>
          </c:tx>
          <c:spPr>
            <a:solidFill>
              <a:srgbClr val="000080"/>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Saalis'!$W$150:$AH$150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B0A1-4D86-BC5D-C5430BC7FC92}"/>
            </c:ext>
          </c:extLst>
        </c:ser>
        <c:ser>
          <c:idx val="9"/>
          <c:order val="9"/>
          <c:tx>
            <c:strRef>
              <c:f>'3 Saalis'!$T$151</c:f>
              <c:strCache>
                <c:ptCount val="1"/>
                <c:pt idx="0">
                  <c:v>Kuore</c:v>
                </c:pt>
              </c:strCache>
            </c:strRef>
          </c:tx>
          <c:spPr>
            <a:solidFill>
              <a:srgbClr val="FF00FF"/>
            </a:solidFill>
            <a:ln w="12700">
              <a:solidFill>
                <a:srgbClr val="000000"/>
              </a:solidFill>
              <a:prstDash val="solid"/>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Saalis'!$W$151:$AH$151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B0A1-4D86-BC5D-C5430BC7FC92}"/>
            </c:ext>
          </c:extLst>
        </c:ser>
        <c:ser>
          <c:idx val="10"/>
          <c:order val="10"/>
          <c:tx>
            <c:strRef>
              <c:f>'3 Saalis'!$T$152</c:f>
              <c:strCache>
                <c:ptCount val="1"/>
                <c:pt idx="0">
                  <c:v>Muu kala</c:v>
                </c:pt>
              </c:strCache>
            </c:strRef>
          </c:tx>
          <c:spPr>
            <a:ln>
              <a:solidFill>
                <a:sysClr val="windowText" lastClr="000000"/>
              </a:solidFill>
            </a:ln>
          </c:spPr>
          <c:invertIfNegative val="0"/>
          <c:cat>
            <c:numRef>
              <c:f>'3 Saalis'!$W$140:$AH$140</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Saalis'!$W$152:$AH$152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B0A1-4D86-BC5D-C5430BC7FC92}"/>
            </c:ext>
          </c:extLst>
        </c:ser>
        <c:dLbls>
          <c:showLegendKey val="0"/>
          <c:showVal val="0"/>
          <c:showCatName val="0"/>
          <c:showSerName val="0"/>
          <c:showPercent val="0"/>
          <c:showBubbleSize val="0"/>
        </c:dLbls>
        <c:gapWidth val="50"/>
        <c:overlap val="100"/>
        <c:axId val="116238208"/>
        <c:axId val="116252672"/>
      </c:barChart>
      <c:catAx>
        <c:axId val="11623820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5828930100842682"/>
              <c:y val="0.9000023272952950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252672"/>
        <c:crosses val="autoZero"/>
        <c:auto val="1"/>
        <c:lblAlgn val="ctr"/>
        <c:lblOffset val="100"/>
        <c:tickLblSkip val="1"/>
        <c:tickMarkSkip val="1"/>
        <c:noMultiLvlLbl val="0"/>
      </c:catAx>
      <c:valAx>
        <c:axId val="116252672"/>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9929893631717089E-2"/>
              <c:y val="0.39230880622681991"/>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238208"/>
        <c:crosses val="autoZero"/>
        <c:crossBetween val="between"/>
      </c:valAx>
      <c:spPr>
        <a:solidFill>
          <a:srgbClr val="CCFFFF"/>
        </a:solidFill>
        <a:ln w="12700">
          <a:solidFill>
            <a:srgbClr val="CCFFFF"/>
          </a:solidFill>
          <a:prstDash val="solid"/>
        </a:ln>
      </c:spPr>
    </c:plotArea>
    <c:legend>
      <c:legendPos val="r"/>
      <c:layout>
        <c:manualLayout>
          <c:xMode val="edge"/>
          <c:yMode val="edge"/>
          <c:x val="0.7478679355667347"/>
          <c:y val="0.17692365854930453"/>
          <c:w val="0.17280321867661186"/>
          <c:h val="0.63153640277723055"/>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17828185618212286"/>
          <c:y val="3.3333594494718011E-2"/>
        </c:manualLayout>
      </c:layout>
      <c:overlay val="0"/>
      <c:spPr>
        <a:noFill/>
        <a:ln w="25400">
          <a:noFill/>
        </a:ln>
      </c:spPr>
    </c:title>
    <c:autoTitleDeleted val="0"/>
    <c:plotArea>
      <c:layout>
        <c:manualLayout>
          <c:layoutTarget val="inner"/>
          <c:xMode val="edge"/>
          <c:yMode val="edge"/>
          <c:x val="0.17385619105304143"/>
          <c:y val="0.1582688538311153"/>
          <c:w val="0.62722852512155591"/>
          <c:h val="0.6589760090545268"/>
        </c:manualLayout>
      </c:layout>
      <c:barChart>
        <c:barDir val="col"/>
        <c:grouping val="clustered"/>
        <c:varyColors val="0"/>
        <c:ser>
          <c:idx val="0"/>
          <c:order val="0"/>
          <c:tx>
            <c:strRef>
              <c:f>'3 Saalis'!$B$9</c:f>
              <c:strCache>
                <c:ptCount val="1"/>
                <c:pt idx="0">
                  <c:v>Silakka</c:v>
                </c:pt>
              </c:strCache>
            </c:strRef>
          </c:tx>
          <c:spPr>
            <a:solidFill>
              <a:srgbClr val="9999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Saalis'!$E$9:$P$9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7F-45FF-944E-FEC6A9C62E09}"/>
            </c:ext>
          </c:extLst>
        </c:ser>
        <c:dLbls>
          <c:showLegendKey val="0"/>
          <c:showVal val="0"/>
          <c:showCatName val="0"/>
          <c:showSerName val="0"/>
          <c:showPercent val="0"/>
          <c:showBubbleSize val="0"/>
        </c:dLbls>
        <c:gapWidth val="50"/>
        <c:axId val="108431616"/>
        <c:axId val="108433792"/>
      </c:barChart>
      <c:catAx>
        <c:axId val="10843161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4846028084873232"/>
              <c:y val="0.9025661717658188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08433792"/>
        <c:crosses val="autoZero"/>
        <c:auto val="1"/>
        <c:lblAlgn val="ctr"/>
        <c:lblOffset val="100"/>
        <c:tickLblSkip val="1"/>
        <c:tickMarkSkip val="1"/>
        <c:noMultiLvlLbl val="0"/>
      </c:catAx>
      <c:valAx>
        <c:axId val="108433792"/>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9.1815795752804227E-3"/>
              <c:y val="0.39838758961101223"/>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08431616"/>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81661001970713254"/>
          <c:y val="0.50769381439260464"/>
          <c:w val="0.14424648939085125"/>
          <c:h val="5.897468040375542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paperSize="9" orientation="landscape" horizontalDpi="-3"/>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a:t>
            </a:r>
          </a:p>
        </c:rich>
      </c:tx>
      <c:layout>
        <c:manualLayout>
          <c:xMode val="edge"/>
          <c:yMode val="edge"/>
          <c:x val="0.50586968228325269"/>
          <c:y val="2.5234813229394495E-2"/>
        </c:manualLayout>
      </c:layout>
      <c:overlay val="0"/>
      <c:spPr>
        <a:noFill/>
        <a:ln w="25400">
          <a:noFill/>
        </a:ln>
      </c:spPr>
    </c:title>
    <c:autoTitleDeleted val="0"/>
    <c:plotArea>
      <c:layout>
        <c:manualLayout>
          <c:layoutTarget val="inner"/>
          <c:xMode val="edge"/>
          <c:yMode val="edge"/>
          <c:x val="0.17064220183486625"/>
          <c:y val="0.13414634146341822"/>
          <c:w val="0.77798165137616404"/>
          <c:h val="0.6975609756097555"/>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Saalis'!$T$185:$T$196</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Saalis'!$V$185:$V$196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2E-479A-92A1-D8905195C9FE}"/>
            </c:ext>
          </c:extLst>
        </c:ser>
        <c:dLbls>
          <c:showLegendKey val="0"/>
          <c:showVal val="0"/>
          <c:showCatName val="0"/>
          <c:showSerName val="0"/>
          <c:showPercent val="0"/>
          <c:showBubbleSize val="0"/>
        </c:dLbls>
        <c:gapWidth val="50"/>
        <c:axId val="116466048"/>
        <c:axId val="116467584"/>
      </c:barChart>
      <c:catAx>
        <c:axId val="116466048"/>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467584"/>
        <c:crosses val="autoZero"/>
        <c:auto val="1"/>
        <c:lblAlgn val="ctr"/>
        <c:lblOffset val="100"/>
        <c:tickLblSkip val="1"/>
        <c:tickMarkSkip val="1"/>
        <c:noMultiLvlLbl val="0"/>
      </c:catAx>
      <c:valAx>
        <c:axId val="116467584"/>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0.49908250967822237"/>
              <c:y val="0.9097557942414306"/>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466048"/>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4199305458385098"/>
          <c:y val="3.5533308947628496E-2"/>
        </c:manualLayout>
      </c:layout>
      <c:overlay val="0"/>
      <c:spPr>
        <a:noFill/>
        <a:ln w="25400">
          <a:noFill/>
        </a:ln>
      </c:spPr>
    </c:title>
    <c:autoTitleDeleted val="0"/>
    <c:plotArea>
      <c:layout>
        <c:manualLayout>
          <c:layoutTarget val="inner"/>
          <c:xMode val="edge"/>
          <c:yMode val="edge"/>
          <c:x val="0.16903929277351809"/>
          <c:y val="0.1598986753185915"/>
          <c:w val="0.53736701492213057"/>
          <c:h val="0.66243736917702156"/>
        </c:manualLayout>
      </c:layout>
      <c:barChart>
        <c:barDir val="col"/>
        <c:grouping val="clustered"/>
        <c:varyColors val="0"/>
        <c:ser>
          <c:idx val="0"/>
          <c:order val="0"/>
          <c:tx>
            <c:strRef>
              <c:f>'3 Saalis'!$T$185</c:f>
              <c:strCache>
                <c:ptCount val="1"/>
                <c:pt idx="0">
                  <c:v>Silakka</c:v>
                </c:pt>
              </c:strCache>
            </c:strRef>
          </c:tx>
          <c:spPr>
            <a:solidFill>
              <a:srgbClr val="9999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Saalis'!$W$185:$AH$185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4B-4218-9757-7B8F41A9533A}"/>
            </c:ext>
          </c:extLst>
        </c:ser>
        <c:dLbls>
          <c:showLegendKey val="0"/>
          <c:showVal val="0"/>
          <c:showCatName val="0"/>
          <c:showSerName val="0"/>
          <c:showPercent val="0"/>
          <c:showBubbleSize val="0"/>
        </c:dLbls>
        <c:gapWidth val="50"/>
        <c:axId val="116516736"/>
        <c:axId val="116391936"/>
      </c:barChart>
      <c:catAx>
        <c:axId val="11651673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8078350060846688"/>
              <c:y val="0.9010163705086985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391936"/>
        <c:crosses val="autoZero"/>
        <c:auto val="1"/>
        <c:lblAlgn val="ctr"/>
        <c:lblOffset val="100"/>
        <c:tickLblSkip val="1"/>
        <c:tickMarkSkip val="1"/>
        <c:noMultiLvlLbl val="0"/>
      </c:catAx>
      <c:valAx>
        <c:axId val="116391936"/>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1.7166626384949053E-2"/>
              <c:y val="0.40950144068177274"/>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516736"/>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7491135902034869"/>
          <c:y val="0.51522861598290437"/>
          <c:w val="0.16951666179045871"/>
          <c:h val="5.5837616874909027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22142863171042876"/>
          <c:y val="3.1088158867922096E-2"/>
        </c:manualLayout>
      </c:layout>
      <c:overlay val="0"/>
      <c:spPr>
        <a:noFill/>
        <a:ln w="25400">
          <a:noFill/>
        </a:ln>
      </c:spPr>
    </c:title>
    <c:autoTitleDeleted val="0"/>
    <c:plotArea>
      <c:layout>
        <c:manualLayout>
          <c:layoutTarget val="inner"/>
          <c:xMode val="edge"/>
          <c:yMode val="edge"/>
          <c:x val="0.16250000000000001"/>
          <c:y val="0.13730569948186541"/>
          <c:w val="0.52857142857142869"/>
          <c:h val="0.67875647668396666"/>
        </c:manualLayout>
      </c:layout>
      <c:barChart>
        <c:barDir val="col"/>
        <c:grouping val="stacked"/>
        <c:varyColors val="0"/>
        <c:ser>
          <c:idx val="0"/>
          <c:order val="0"/>
          <c:tx>
            <c:strRef>
              <c:f>'3 Saalis'!$T$186</c:f>
              <c:strCache>
                <c:ptCount val="1"/>
                <c:pt idx="0">
                  <c:v>Muikku</c:v>
                </c:pt>
              </c:strCache>
            </c:strRef>
          </c:tx>
          <c:spPr>
            <a:solidFill>
              <a:srgbClr val="9999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Saalis'!$W$186:$AH$186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36-46F3-917E-D21440C5F716}"/>
            </c:ext>
          </c:extLst>
        </c:ser>
        <c:ser>
          <c:idx val="1"/>
          <c:order val="1"/>
          <c:tx>
            <c:strRef>
              <c:f>'3 Saalis'!$T$187</c:f>
              <c:strCache>
                <c:ptCount val="1"/>
                <c:pt idx="0">
                  <c:v>Kuha</c:v>
                </c:pt>
              </c:strCache>
            </c:strRef>
          </c:tx>
          <c:spPr>
            <a:solidFill>
              <a:srgbClr val="993366"/>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Saalis'!$W$187:$AH$187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A36-46F3-917E-D21440C5F716}"/>
            </c:ext>
          </c:extLst>
        </c:ser>
        <c:ser>
          <c:idx val="2"/>
          <c:order val="2"/>
          <c:tx>
            <c:strRef>
              <c:f>'3 Saalis'!$T$188</c:f>
              <c:strCache>
                <c:ptCount val="1"/>
                <c:pt idx="0">
                  <c:v>Ahven</c:v>
                </c:pt>
              </c:strCache>
            </c:strRef>
          </c:tx>
          <c:spPr>
            <a:solidFill>
              <a:srgbClr val="FFFFCC"/>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Saalis'!$W$188:$AH$188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9A36-46F3-917E-D21440C5F716}"/>
            </c:ext>
          </c:extLst>
        </c:ser>
        <c:ser>
          <c:idx val="3"/>
          <c:order val="3"/>
          <c:tx>
            <c:strRef>
              <c:f>'3 Saalis'!$T$189</c:f>
              <c:strCache>
                <c:ptCount val="1"/>
                <c:pt idx="0">
                  <c:v>Siika</c:v>
                </c:pt>
              </c:strCache>
            </c:strRef>
          </c:tx>
          <c:spPr>
            <a:solidFill>
              <a:srgbClr val="CCFF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Saalis'!$W$189:$AH$189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9A36-46F3-917E-D21440C5F716}"/>
            </c:ext>
          </c:extLst>
        </c:ser>
        <c:ser>
          <c:idx val="4"/>
          <c:order val="4"/>
          <c:tx>
            <c:strRef>
              <c:f>'3 Saalis'!$T$190</c:f>
              <c:strCache>
                <c:ptCount val="1"/>
                <c:pt idx="0">
                  <c:v>Hauki</c:v>
                </c:pt>
              </c:strCache>
            </c:strRef>
          </c:tx>
          <c:spPr>
            <a:solidFill>
              <a:srgbClr val="660066"/>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Saalis'!$W$190:$AH$190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A36-46F3-917E-D21440C5F716}"/>
            </c:ext>
          </c:extLst>
        </c:ser>
        <c:ser>
          <c:idx val="5"/>
          <c:order val="5"/>
          <c:tx>
            <c:strRef>
              <c:f>'3 Saalis'!$T$191</c:f>
              <c:strCache>
                <c:ptCount val="1"/>
                <c:pt idx="0">
                  <c:v>Made</c:v>
                </c:pt>
              </c:strCache>
            </c:strRef>
          </c:tx>
          <c:spPr>
            <a:solidFill>
              <a:srgbClr val="FF8080"/>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Saalis'!$W$191:$AH$191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9A36-46F3-917E-D21440C5F716}"/>
            </c:ext>
          </c:extLst>
        </c:ser>
        <c:ser>
          <c:idx val="6"/>
          <c:order val="6"/>
          <c:tx>
            <c:strRef>
              <c:f>'3 Saalis'!$T$192</c:f>
              <c:strCache>
                <c:ptCount val="1"/>
                <c:pt idx="0">
                  <c:v>Lohi/taimen</c:v>
                </c:pt>
              </c:strCache>
            </c:strRef>
          </c:tx>
          <c:spPr>
            <a:solidFill>
              <a:srgbClr val="0066CC"/>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Saalis'!$W$192:$AH$192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9A36-46F3-917E-D21440C5F716}"/>
            </c:ext>
          </c:extLst>
        </c:ser>
        <c:ser>
          <c:idx val="7"/>
          <c:order val="7"/>
          <c:tx>
            <c:strRef>
              <c:f>'3 Saalis'!$T$193</c:f>
              <c:strCache>
                <c:ptCount val="1"/>
                <c:pt idx="0">
                  <c:v>Lahna</c:v>
                </c:pt>
              </c:strCache>
            </c:strRef>
          </c:tx>
          <c:spPr>
            <a:solidFill>
              <a:srgbClr val="CCCC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Saalis'!$W$193:$AH$193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9A36-46F3-917E-D21440C5F716}"/>
            </c:ext>
          </c:extLst>
        </c:ser>
        <c:ser>
          <c:idx val="8"/>
          <c:order val="8"/>
          <c:tx>
            <c:strRef>
              <c:f>'3 Saalis'!$T$194</c:f>
              <c:strCache>
                <c:ptCount val="1"/>
                <c:pt idx="0">
                  <c:v>Särki</c:v>
                </c:pt>
              </c:strCache>
            </c:strRef>
          </c:tx>
          <c:spPr>
            <a:solidFill>
              <a:srgbClr val="000080"/>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Saalis'!$W$194:$AH$194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9A36-46F3-917E-D21440C5F716}"/>
            </c:ext>
          </c:extLst>
        </c:ser>
        <c:ser>
          <c:idx val="9"/>
          <c:order val="9"/>
          <c:tx>
            <c:strRef>
              <c:f>'3 Saalis'!$T$195</c:f>
              <c:strCache>
                <c:ptCount val="1"/>
                <c:pt idx="0">
                  <c:v>Kuore</c:v>
                </c:pt>
              </c:strCache>
            </c:strRef>
          </c:tx>
          <c:spPr>
            <a:solidFill>
              <a:srgbClr val="FF00FF"/>
            </a:solidFill>
            <a:ln w="12700">
              <a:solidFill>
                <a:srgbClr val="000000"/>
              </a:solidFill>
              <a:prstDash val="solid"/>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Saalis'!$W$195:$AH$195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9A36-46F3-917E-D21440C5F716}"/>
            </c:ext>
          </c:extLst>
        </c:ser>
        <c:ser>
          <c:idx val="10"/>
          <c:order val="10"/>
          <c:tx>
            <c:strRef>
              <c:f>'3 Saalis'!$T$196</c:f>
              <c:strCache>
                <c:ptCount val="1"/>
                <c:pt idx="0">
                  <c:v>Muu kala</c:v>
                </c:pt>
              </c:strCache>
            </c:strRef>
          </c:tx>
          <c:spPr>
            <a:ln>
              <a:solidFill>
                <a:sysClr val="windowText" lastClr="000000"/>
              </a:solidFill>
            </a:ln>
          </c:spPr>
          <c:invertIfNegative val="0"/>
          <c:cat>
            <c:numRef>
              <c:f>'3 Saalis'!$W$184:$AH$184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Saalis'!$W$196:$AH$196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9A36-46F3-917E-D21440C5F716}"/>
            </c:ext>
          </c:extLst>
        </c:ser>
        <c:dLbls>
          <c:showLegendKey val="0"/>
          <c:showVal val="0"/>
          <c:showCatName val="0"/>
          <c:showSerName val="0"/>
          <c:showPercent val="0"/>
          <c:showBubbleSize val="0"/>
        </c:dLbls>
        <c:gapWidth val="50"/>
        <c:overlap val="100"/>
        <c:axId val="116564352"/>
        <c:axId val="116566272"/>
      </c:barChart>
      <c:catAx>
        <c:axId val="11656435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249993670405917"/>
              <c:y val="0.8963729783153635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566272"/>
        <c:crosses val="autoZero"/>
        <c:auto val="1"/>
        <c:lblAlgn val="ctr"/>
        <c:lblOffset val="100"/>
        <c:tickLblSkip val="1"/>
        <c:tickMarkSkip val="1"/>
        <c:noMultiLvlLbl val="0"/>
      </c:catAx>
      <c:valAx>
        <c:axId val="116566272"/>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0357242322201692E-2"/>
              <c:y val="0.39119183668126267"/>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6564352"/>
        <c:crosses val="autoZero"/>
        <c:crossBetween val="between"/>
      </c:valAx>
      <c:spPr>
        <a:solidFill>
          <a:srgbClr val="CCFFFF"/>
        </a:solidFill>
        <a:ln w="12700">
          <a:solidFill>
            <a:srgbClr val="CCFFFF"/>
          </a:solidFill>
          <a:prstDash val="solid"/>
        </a:ln>
      </c:spPr>
    </c:plotArea>
    <c:legend>
      <c:legendPos val="r"/>
      <c:layout>
        <c:manualLayout>
          <c:xMode val="edge"/>
          <c:yMode val="edge"/>
          <c:x val="0.72321408377007568"/>
          <c:y val="0.16580333942048092"/>
          <c:w val="0.17161269632292744"/>
          <c:h val="0.63153664395441833"/>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 lajeittain</a:t>
            </a:r>
          </a:p>
        </c:rich>
      </c:tx>
      <c:layout>
        <c:manualLayout>
          <c:xMode val="edge"/>
          <c:yMode val="edge"/>
          <c:x val="0.38336103109063291"/>
          <c:y val="3.1476951905834466E-2"/>
        </c:manualLayout>
      </c:layout>
      <c:overlay val="0"/>
      <c:spPr>
        <a:noFill/>
        <a:ln w="25400">
          <a:noFill/>
        </a:ln>
      </c:spPr>
    </c:title>
    <c:autoTitleDeleted val="0"/>
    <c:plotArea>
      <c:layout>
        <c:manualLayout>
          <c:layoutTarget val="inner"/>
          <c:xMode val="edge"/>
          <c:yMode val="edge"/>
          <c:x val="0.13866242692701983"/>
          <c:y val="0.13317191283292978"/>
          <c:w val="0.81403001219511284"/>
          <c:h val="0.69733656174332137"/>
        </c:manualLayout>
      </c:layout>
      <c:barChart>
        <c:barDir val="bar"/>
        <c:grouping val="clustered"/>
        <c:varyColors val="0"/>
        <c:ser>
          <c:idx val="0"/>
          <c:order val="0"/>
          <c:spPr>
            <a:solidFill>
              <a:srgbClr val="9999FF"/>
            </a:solidFill>
            <a:ln w="12700">
              <a:solidFill>
                <a:srgbClr val="000000"/>
              </a:solidFill>
              <a:prstDash val="solid"/>
            </a:ln>
          </c:spPr>
          <c:invertIfNegative val="0"/>
          <c:cat>
            <c:strRef>
              <c:f>'3 Saalis'!$B$9:$B$20</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'3 Saalis'!$D$9:$D$20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61-4E44-8488-49CCFF5ED272}"/>
            </c:ext>
          </c:extLst>
        </c:ser>
        <c:dLbls>
          <c:showLegendKey val="0"/>
          <c:showVal val="0"/>
          <c:showCatName val="0"/>
          <c:showSerName val="0"/>
          <c:showPercent val="0"/>
          <c:showBubbleSize val="0"/>
        </c:dLbls>
        <c:gapWidth val="50"/>
        <c:axId val="59899264"/>
        <c:axId val="37962880"/>
      </c:barChart>
      <c:catAx>
        <c:axId val="59899264"/>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37962880"/>
        <c:crosses val="autoZero"/>
        <c:auto val="1"/>
        <c:lblAlgn val="ctr"/>
        <c:lblOffset val="100"/>
        <c:tickLblSkip val="1"/>
        <c:tickMarkSkip val="1"/>
        <c:noMultiLvlLbl val="0"/>
      </c:catAx>
      <c:valAx>
        <c:axId val="37962880"/>
        <c:scaling>
          <c:orientation val="minMax"/>
        </c:scaling>
        <c:delete val="0"/>
        <c:axPos val="b"/>
        <c:majorGridlines>
          <c:spPr>
            <a:ln w="3175">
              <a:solidFill>
                <a:srgbClr val="00000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fi-FI" sz="1100" b="1" i="0" u="none" strike="noStrike" baseline="0">
                    <a:solidFill>
                      <a:srgbClr val="000000"/>
                    </a:solidFill>
                    <a:latin typeface="Arial"/>
                    <a:cs typeface="Arial"/>
                  </a:rPr>
                  <a:t>Saalis</a:t>
                </a:r>
                <a:r>
                  <a:rPr lang="fi-FI" sz="1050" b="1" i="0" u="none" strike="noStrike" baseline="0">
                    <a:solidFill>
                      <a:srgbClr val="000000"/>
                    </a:solidFill>
                    <a:latin typeface="Arial"/>
                    <a:cs typeface="Arial"/>
                  </a:rPr>
                  <a:t>, kg</a:t>
                </a:r>
              </a:p>
            </c:rich>
          </c:tx>
          <c:layout>
            <c:manualLayout>
              <c:xMode val="edge"/>
              <c:yMode val="edge"/>
              <c:x val="0.49102806051683195"/>
              <c:y val="0.90556889608657165"/>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fi-FI"/>
          </a:p>
        </c:txPr>
        <c:crossAx val="59899264"/>
        <c:crosses val="autoZero"/>
        <c:crossBetween val="between"/>
      </c:valAx>
      <c:spPr>
        <a:solidFill>
          <a:srgbClr val="CCFFFF"/>
        </a:solidFill>
        <a:ln w="3175">
          <a:solidFill>
            <a:srgbClr val="000000"/>
          </a:solidFill>
          <a:prstDash val="solid"/>
        </a:ln>
      </c:spPr>
    </c:plotArea>
    <c:plotVisOnly val="1"/>
    <c:dispBlanksAs val="gap"/>
    <c:showDLblsOverMax val="0"/>
  </c:chart>
  <c:spPr>
    <a:solidFill>
      <a:srgbClr val="33CCCC"/>
    </a:solidFill>
    <a:ln w="9525">
      <a:noFill/>
    </a:ln>
  </c:spPr>
  <c:txPr>
    <a:bodyPr/>
    <a:lstStyle/>
    <a:p>
      <a:pPr>
        <a:defRPr sz="975"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Myynnin arvo kalalajeittain ja pyydyksittäin</a:t>
            </a:r>
          </a:p>
        </c:rich>
      </c:tx>
      <c:layout>
        <c:manualLayout>
          <c:xMode val="edge"/>
          <c:yMode val="edge"/>
          <c:x val="0.17426710097720352"/>
          <c:y val="1.2953504881368741E-2"/>
        </c:manualLayout>
      </c:layout>
      <c:overlay val="0"/>
      <c:spPr>
        <a:noFill/>
        <a:ln w="25400">
          <a:noFill/>
        </a:ln>
      </c:spPr>
    </c:title>
    <c:autoTitleDeleted val="0"/>
    <c:plotArea>
      <c:layout>
        <c:manualLayout>
          <c:layoutTarget val="inner"/>
          <c:xMode val="edge"/>
          <c:yMode val="edge"/>
          <c:x val="0.14657980456026506"/>
          <c:y val="0.11917098445595872"/>
          <c:w val="0.80456026058631858"/>
          <c:h val="0.6528497409326427"/>
        </c:manualLayout>
      </c:layout>
      <c:barChart>
        <c:barDir val="bar"/>
        <c:grouping val="stacked"/>
        <c:varyColors val="0"/>
        <c:ser>
          <c:idx val="2"/>
          <c:order val="0"/>
          <c:tx>
            <c:strRef>
              <c:f>'4 Myynti'!$CL$170</c:f>
              <c:strCache>
                <c:ptCount val="1"/>
                <c:pt idx="0">
                  <c:v>Verkko1</c:v>
                </c:pt>
              </c:strCache>
            </c:strRef>
          </c:tx>
          <c:spPr>
            <a:solidFill>
              <a:srgbClr val="FFFFCC"/>
            </a:solidFill>
            <a:ln w="12700">
              <a:solidFill>
                <a:srgbClr val="000000"/>
              </a:solidFill>
              <a:prstDash val="solid"/>
            </a:ln>
          </c:spPr>
          <c:invertIfNegative val="0"/>
          <c:cat>
            <c:strRef>
              <c:f>'4 Myynti'!$CK$172:$CK$183</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'4 Myynti'!$CL$172:$CL$183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DE9-41B7-AA44-C74853D8DC8B}"/>
            </c:ext>
          </c:extLst>
        </c:ser>
        <c:ser>
          <c:idx val="3"/>
          <c:order val="1"/>
          <c:tx>
            <c:strRef>
              <c:f>'4 Myynti'!$CM$170</c:f>
              <c:strCache>
                <c:ptCount val="1"/>
                <c:pt idx="0">
                  <c:v>Verkko2</c:v>
                </c:pt>
              </c:strCache>
            </c:strRef>
          </c:tx>
          <c:spPr>
            <a:ln>
              <a:solidFill>
                <a:srgbClr val="000000"/>
              </a:solidFill>
            </a:ln>
          </c:spPr>
          <c:invertIfNegative val="0"/>
          <c:val>
            <c:numRef>
              <c:f>'4 Myynti'!$CM$172:$CM$183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DE9-41B7-AA44-C74853D8DC8B}"/>
            </c:ext>
          </c:extLst>
        </c:ser>
        <c:ser>
          <c:idx val="0"/>
          <c:order val="2"/>
          <c:tx>
            <c:strRef>
              <c:f>'4 Myynti'!$CN$170</c:f>
              <c:strCache>
                <c:ptCount val="1"/>
                <c:pt idx="0">
                  <c:v>Isorysä1</c:v>
                </c:pt>
              </c:strCache>
            </c:strRef>
          </c:tx>
          <c:spPr>
            <a:solidFill>
              <a:srgbClr val="9999FF"/>
            </a:solidFill>
            <a:ln w="12700">
              <a:solidFill>
                <a:srgbClr val="000000"/>
              </a:solidFill>
              <a:prstDash val="solid"/>
            </a:ln>
          </c:spPr>
          <c:invertIfNegative val="0"/>
          <c:cat>
            <c:strRef>
              <c:f>'4 Myynti'!$CK$172:$CK$183</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'4 Myynti'!$CN$172:$CN$183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DE9-41B7-AA44-C74853D8DC8B}"/>
            </c:ext>
          </c:extLst>
        </c:ser>
        <c:ser>
          <c:idx val="4"/>
          <c:order val="3"/>
          <c:tx>
            <c:strRef>
              <c:f>'4 Myynti'!$CO$170</c:f>
              <c:strCache>
                <c:ptCount val="1"/>
                <c:pt idx="0">
                  <c:v>Isorysä2</c:v>
                </c:pt>
              </c:strCache>
            </c:strRef>
          </c:tx>
          <c:spPr>
            <a:ln>
              <a:solidFill>
                <a:srgbClr val="000000"/>
              </a:solidFill>
            </a:ln>
          </c:spPr>
          <c:invertIfNegative val="0"/>
          <c:val>
            <c:numRef>
              <c:f>'4 Myynti'!$CO$172:$CO$183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DE9-41B7-AA44-C74853D8DC8B}"/>
            </c:ext>
          </c:extLst>
        </c:ser>
        <c:ser>
          <c:idx val="1"/>
          <c:order val="4"/>
          <c:tx>
            <c:strRef>
              <c:f>'4 Myynti'!$CP$170</c:f>
              <c:strCache>
                <c:ptCount val="1"/>
                <c:pt idx="0">
                  <c:v>PU-rysä1</c:v>
                </c:pt>
              </c:strCache>
            </c:strRef>
          </c:tx>
          <c:spPr>
            <a:solidFill>
              <a:srgbClr val="993366"/>
            </a:solidFill>
            <a:ln w="12700">
              <a:solidFill>
                <a:srgbClr val="000000"/>
              </a:solidFill>
              <a:prstDash val="solid"/>
            </a:ln>
          </c:spPr>
          <c:invertIfNegative val="0"/>
          <c:cat>
            <c:strRef>
              <c:f>'4 Myynti'!$CK$172:$CK$183</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'4 Myynti'!$CP$172:$CP$183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DE9-41B7-AA44-C74853D8DC8B}"/>
            </c:ext>
          </c:extLst>
        </c:ser>
        <c:ser>
          <c:idx val="5"/>
          <c:order val="5"/>
          <c:tx>
            <c:strRef>
              <c:f>'4 Myynti'!$CQ$170</c:f>
              <c:strCache>
                <c:ptCount val="1"/>
                <c:pt idx="0">
                  <c:v>PU-rysä2</c:v>
                </c:pt>
              </c:strCache>
            </c:strRef>
          </c:tx>
          <c:spPr>
            <a:ln>
              <a:solidFill>
                <a:srgbClr val="000000"/>
              </a:solidFill>
            </a:ln>
          </c:spPr>
          <c:invertIfNegative val="0"/>
          <c:val>
            <c:numRef>
              <c:f>'4 Myynti'!$CQ$172:$CQ$183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DE9-41B7-AA44-C74853D8DC8B}"/>
            </c:ext>
          </c:extLst>
        </c:ser>
        <c:dLbls>
          <c:showLegendKey val="0"/>
          <c:showVal val="0"/>
          <c:showCatName val="0"/>
          <c:showSerName val="0"/>
          <c:showPercent val="0"/>
          <c:showBubbleSize val="0"/>
        </c:dLbls>
        <c:gapWidth val="50"/>
        <c:overlap val="100"/>
        <c:axId val="38085376"/>
        <c:axId val="38086912"/>
      </c:barChart>
      <c:catAx>
        <c:axId val="38085376"/>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38086912"/>
        <c:crosses val="autoZero"/>
        <c:auto val="1"/>
        <c:lblAlgn val="ctr"/>
        <c:lblOffset val="100"/>
        <c:tickLblSkip val="1"/>
        <c:tickMarkSkip val="1"/>
        <c:noMultiLvlLbl val="0"/>
      </c:catAx>
      <c:valAx>
        <c:axId val="38086912"/>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Myynnin arvo, €</a:t>
                </a:r>
              </a:p>
            </c:rich>
          </c:tx>
          <c:layout>
            <c:manualLayout>
              <c:xMode val="edge"/>
              <c:yMode val="edge"/>
              <c:x val="0.46416938110749784"/>
              <c:y val="0.85233139902177268"/>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38085376"/>
        <c:crosses val="autoZero"/>
        <c:crossBetween val="between"/>
      </c:valAx>
      <c:spPr>
        <a:solidFill>
          <a:srgbClr val="CCFFFF"/>
        </a:solidFill>
        <a:ln w="12700">
          <a:solidFill>
            <a:srgbClr val="808080"/>
          </a:solidFill>
          <a:prstDash val="solid"/>
        </a:ln>
      </c:spPr>
    </c:plotArea>
    <c:legend>
      <c:legendPos val="b"/>
      <c:layout>
        <c:manualLayout>
          <c:xMode val="edge"/>
          <c:yMode val="edge"/>
          <c:x val="0.14344011558815944"/>
          <c:y val="0.91273949317129865"/>
          <c:w val="0.84581531543084865"/>
          <c:h val="5.9679177819893812E-2"/>
        </c:manualLayout>
      </c:layout>
      <c:overlay val="0"/>
      <c:spPr>
        <a:solidFill>
          <a:srgbClr val="CC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95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Saalis kuukausittain</a:t>
            </a:r>
          </a:p>
        </c:rich>
      </c:tx>
      <c:layout>
        <c:manualLayout>
          <c:xMode val="edge"/>
          <c:yMode val="edge"/>
          <c:x val="0.344660739988152"/>
          <c:y val="3.1630226744222292E-2"/>
        </c:manualLayout>
      </c:layout>
      <c:overlay val="0"/>
      <c:spPr>
        <a:noFill/>
        <a:ln w="25400">
          <a:noFill/>
        </a:ln>
      </c:spPr>
    </c:title>
    <c:autoTitleDeleted val="0"/>
    <c:plotArea>
      <c:layout>
        <c:manualLayout>
          <c:layoutTarget val="inner"/>
          <c:xMode val="edge"/>
          <c:yMode val="edge"/>
          <c:x val="0.16552753214375188"/>
          <c:y val="0.14434324334228776"/>
          <c:w val="0.77670025646661311"/>
          <c:h val="0.67640063393553085"/>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'3 Saalis'!$E$21:$P$21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8A4-468E-8D07-335863A0BE1A}"/>
            </c:ext>
          </c:extLst>
        </c:ser>
        <c:dLbls>
          <c:showLegendKey val="0"/>
          <c:showVal val="0"/>
          <c:showCatName val="0"/>
          <c:showSerName val="0"/>
          <c:showPercent val="0"/>
          <c:showBubbleSize val="0"/>
        </c:dLbls>
        <c:gapWidth val="50"/>
        <c:axId val="38107392"/>
        <c:axId val="38134144"/>
      </c:barChart>
      <c:catAx>
        <c:axId val="38107392"/>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46763813394293458"/>
              <c:y val="0.90511156414235205"/>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38134144"/>
        <c:crosses val="autoZero"/>
        <c:auto val="1"/>
        <c:lblAlgn val="ctr"/>
        <c:lblOffset val="100"/>
        <c:tickLblSkip val="1"/>
        <c:tickMarkSkip val="1"/>
        <c:noMultiLvlLbl val="0"/>
      </c:catAx>
      <c:valAx>
        <c:axId val="38134144"/>
        <c:scaling>
          <c:orientation val="minMax"/>
        </c:scaling>
        <c:delete val="0"/>
        <c:axPos val="l"/>
        <c:majorGridlines>
          <c:spPr>
            <a:ln w="12700">
              <a:solidFill>
                <a:srgbClr val="000000"/>
              </a:solidFill>
              <a:prstDash val="sysDash"/>
            </a:ln>
          </c:spPr>
        </c:majorGridlines>
        <c:title>
          <c:tx>
            <c:rich>
              <a:bodyPr/>
              <a:lstStyle/>
              <a:p>
                <a:pPr>
                  <a:defRPr sz="1200" b="1" i="0" u="none" strike="noStrike" baseline="0">
                    <a:solidFill>
                      <a:srgbClr val="000000"/>
                    </a:solidFill>
                    <a:latin typeface="Arial"/>
                    <a:ea typeface="Arial"/>
                    <a:cs typeface="Arial"/>
                  </a:defRPr>
                </a:pPr>
                <a:r>
                  <a:rPr lang="fi-FI"/>
                  <a:t>Saalis, kg</a:t>
                </a:r>
              </a:p>
            </c:rich>
          </c:tx>
          <c:layout>
            <c:manualLayout>
              <c:xMode val="edge"/>
              <c:yMode val="edge"/>
              <c:x val="8.1496909660486068E-3"/>
              <c:y val="0.3718924445608198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38107392"/>
        <c:crosses val="autoZero"/>
        <c:crossBetween val="between"/>
      </c:valAx>
      <c:spPr>
        <a:solidFill>
          <a:srgbClr val="CCFFFF"/>
        </a:solidFill>
        <a:ln w="12700">
          <a:solidFill>
            <a:srgbClr val="808080"/>
          </a:solidFill>
          <a:prstDash val="solid"/>
        </a:ln>
      </c:spPr>
    </c:plotArea>
    <c:plotVisOnly val="1"/>
    <c:dispBlanksAs val="gap"/>
    <c:showDLblsOverMax val="0"/>
  </c:chart>
  <c:spPr>
    <a:solidFill>
      <a:srgbClr val="33CCCC"/>
    </a:solidFill>
    <a:ln w="9525">
      <a:noFill/>
    </a:ln>
  </c:spPr>
  <c:txPr>
    <a:bodyPr/>
    <a:lstStyle/>
    <a:p>
      <a:pPr>
        <a:defRPr sz="95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Myynnin arvo pyydyksittäin ja kuukausittain</a:t>
            </a:r>
          </a:p>
        </c:rich>
      </c:tx>
      <c:layout>
        <c:manualLayout>
          <c:xMode val="edge"/>
          <c:yMode val="edge"/>
          <c:x val="0.16801309804120518"/>
          <c:y val="3.3854209620306192E-2"/>
        </c:manualLayout>
      </c:layout>
      <c:overlay val="0"/>
      <c:spPr>
        <a:noFill/>
        <a:ln w="25400">
          <a:noFill/>
        </a:ln>
      </c:spPr>
    </c:title>
    <c:autoTitleDeleted val="0"/>
    <c:plotArea>
      <c:layout>
        <c:manualLayout>
          <c:layoutTarget val="inner"/>
          <c:xMode val="edge"/>
          <c:yMode val="edge"/>
          <c:x val="0.15500496173903291"/>
          <c:y val="0.15104205078647306"/>
          <c:w val="0.79006855368990003"/>
          <c:h val="0.61979324288240745"/>
        </c:manualLayout>
      </c:layout>
      <c:barChart>
        <c:barDir val="col"/>
        <c:grouping val="stacked"/>
        <c:varyColors val="0"/>
        <c:ser>
          <c:idx val="2"/>
          <c:order val="0"/>
          <c:tx>
            <c:strRef>
              <c:f>'4 Myynti'!$CL$162</c:f>
              <c:strCache>
                <c:ptCount val="1"/>
                <c:pt idx="0">
                  <c:v>Verkko1</c:v>
                </c:pt>
              </c:strCache>
            </c:strRef>
          </c:tx>
          <c:spPr>
            <a:solidFill>
              <a:srgbClr val="FFFFCC"/>
            </a:solidFill>
            <a:ln w="12700">
              <a:solidFill>
                <a:srgbClr val="000000"/>
              </a:solidFill>
              <a:prstDash val="solid"/>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Myynti'!$CM$162:$CX$162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54-45BA-AC38-E5AEEC6A4D6C}"/>
            </c:ext>
          </c:extLst>
        </c:ser>
        <c:ser>
          <c:idx val="3"/>
          <c:order val="1"/>
          <c:tx>
            <c:strRef>
              <c:f>'4 Myynti'!$CL$163</c:f>
              <c:strCache>
                <c:ptCount val="1"/>
                <c:pt idx="0">
                  <c:v>Verkko2</c:v>
                </c:pt>
              </c:strCache>
            </c:strRef>
          </c:tx>
          <c:spPr>
            <a:ln>
              <a:solidFill>
                <a:srgbClr val="000000"/>
              </a:solidFill>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Myynti'!$CM$163:$CX$163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E54-45BA-AC38-E5AEEC6A4D6C}"/>
            </c:ext>
          </c:extLst>
        </c:ser>
        <c:ser>
          <c:idx val="0"/>
          <c:order val="2"/>
          <c:tx>
            <c:strRef>
              <c:f>'4 Myynti'!$CL$164</c:f>
              <c:strCache>
                <c:ptCount val="1"/>
                <c:pt idx="0">
                  <c:v>Isorysä1</c:v>
                </c:pt>
              </c:strCache>
            </c:strRef>
          </c:tx>
          <c:spPr>
            <a:solidFill>
              <a:srgbClr val="9999FF"/>
            </a:solidFill>
            <a:ln w="12700">
              <a:solidFill>
                <a:srgbClr val="000000"/>
              </a:solidFill>
              <a:prstDash val="solid"/>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Myynti'!$CM$164:$CX$164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DE54-45BA-AC38-E5AEEC6A4D6C}"/>
            </c:ext>
          </c:extLst>
        </c:ser>
        <c:ser>
          <c:idx val="4"/>
          <c:order val="3"/>
          <c:tx>
            <c:strRef>
              <c:f>'4 Myynti'!$CL$165</c:f>
              <c:strCache>
                <c:ptCount val="1"/>
                <c:pt idx="0">
                  <c:v>Isorysä2</c:v>
                </c:pt>
              </c:strCache>
            </c:strRef>
          </c:tx>
          <c:spPr>
            <a:ln>
              <a:solidFill>
                <a:srgbClr val="000000"/>
              </a:solidFill>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Myynti'!$CM$165:$CX$165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DE54-45BA-AC38-E5AEEC6A4D6C}"/>
            </c:ext>
          </c:extLst>
        </c:ser>
        <c:ser>
          <c:idx val="1"/>
          <c:order val="4"/>
          <c:tx>
            <c:strRef>
              <c:f>'4 Myynti'!$CL$166</c:f>
              <c:strCache>
                <c:ptCount val="1"/>
                <c:pt idx="0">
                  <c:v>PU-rysä1</c:v>
                </c:pt>
              </c:strCache>
            </c:strRef>
          </c:tx>
          <c:spPr>
            <a:solidFill>
              <a:srgbClr val="993366"/>
            </a:solidFill>
            <a:ln w="12700">
              <a:solidFill>
                <a:srgbClr val="000000"/>
              </a:solidFill>
              <a:prstDash val="solid"/>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Myynti'!$CM$166:$CX$166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DE54-45BA-AC38-E5AEEC6A4D6C}"/>
            </c:ext>
          </c:extLst>
        </c:ser>
        <c:ser>
          <c:idx val="5"/>
          <c:order val="5"/>
          <c:tx>
            <c:strRef>
              <c:f>'4 Myynti'!$CL$167</c:f>
              <c:strCache>
                <c:ptCount val="1"/>
                <c:pt idx="0">
                  <c:v>PU-rysä2</c:v>
                </c:pt>
              </c:strCache>
            </c:strRef>
          </c:tx>
          <c:spPr>
            <a:ln>
              <a:solidFill>
                <a:srgbClr val="000000"/>
              </a:solidFill>
            </a:ln>
          </c:spPr>
          <c:invertIfNegative val="0"/>
          <c:cat>
            <c:numRef>
              <c:f>'4 Myynti'!$CM$161:$CX$161</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'4 Myynti'!$CM$167:$CX$167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DE54-45BA-AC38-E5AEEC6A4D6C}"/>
            </c:ext>
          </c:extLst>
        </c:ser>
        <c:dLbls>
          <c:showLegendKey val="0"/>
          <c:showVal val="0"/>
          <c:showCatName val="0"/>
          <c:showSerName val="0"/>
          <c:showPercent val="0"/>
          <c:showBubbleSize val="0"/>
        </c:dLbls>
        <c:gapWidth val="50"/>
        <c:overlap val="100"/>
        <c:axId val="38055296"/>
        <c:axId val="38073856"/>
      </c:barChart>
      <c:catAx>
        <c:axId val="38055296"/>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48788397431029729"/>
              <c:y val="0.85156478881534559"/>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38073856"/>
        <c:crosses val="autoZero"/>
        <c:auto val="1"/>
        <c:lblAlgn val="ctr"/>
        <c:lblOffset val="100"/>
        <c:tickLblSkip val="1"/>
        <c:tickMarkSkip val="1"/>
        <c:noMultiLvlLbl val="0"/>
      </c:catAx>
      <c:valAx>
        <c:axId val="3807385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fi-FI" sz="1100" b="1" i="0" u="none" strike="noStrike" baseline="0">
                    <a:solidFill>
                      <a:srgbClr val="000000"/>
                    </a:solidFill>
                    <a:latin typeface="Arial"/>
                    <a:cs typeface="Arial"/>
                  </a:rPr>
                  <a:t>Myynnin </a:t>
                </a:r>
                <a:r>
                  <a:rPr lang="fi-FI" sz="1200" b="1" i="0" u="none" strike="noStrike" baseline="0">
                    <a:solidFill>
                      <a:srgbClr val="000000"/>
                    </a:solidFill>
                    <a:latin typeface="Arial"/>
                    <a:cs typeface="Arial"/>
                  </a:rPr>
                  <a:t>arvo</a:t>
                </a:r>
                <a:r>
                  <a:rPr lang="fi-FI" sz="1100" b="1" i="0" u="none" strike="noStrike" baseline="0">
                    <a:solidFill>
                      <a:srgbClr val="000000"/>
                    </a:solidFill>
                    <a:latin typeface="Arial"/>
                    <a:cs typeface="Arial"/>
                  </a:rPr>
                  <a:t>, €</a:t>
                </a:r>
              </a:p>
            </c:rich>
          </c:tx>
          <c:layout>
            <c:manualLayout>
              <c:xMode val="edge"/>
              <c:yMode val="edge"/>
              <c:x val="1.6196504375859771E-2"/>
              <c:y val="0.30563721928773868"/>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38055296"/>
        <c:crosses val="autoZero"/>
        <c:crossBetween val="between"/>
      </c:valAx>
      <c:spPr>
        <a:solidFill>
          <a:srgbClr val="CCFFFF"/>
        </a:solidFill>
        <a:ln w="12700">
          <a:solidFill>
            <a:srgbClr val="808080"/>
          </a:solidFill>
          <a:prstDash val="solid"/>
        </a:ln>
      </c:spPr>
    </c:plotArea>
    <c:legend>
      <c:legendPos val="b"/>
      <c:layout>
        <c:manualLayout>
          <c:xMode val="edge"/>
          <c:yMode val="edge"/>
          <c:x val="0.13824712425416291"/>
          <c:y val="0.92276107631185689"/>
          <c:w val="0.78404250111822749"/>
          <c:h val="5.9974473265653763E-2"/>
        </c:manualLayout>
      </c:layout>
      <c:overlay val="0"/>
      <c:spPr>
        <a:solidFill>
          <a:srgbClr val="CCFFFF"/>
        </a:solidFill>
        <a:ln w="3175">
          <a:solidFill>
            <a:srgbClr val="000000"/>
          </a:solidFill>
          <a:prstDash val="solid"/>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95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Myynnin arvo  kalalajeittain</a:t>
            </a:r>
          </a:p>
        </c:rich>
      </c:tx>
      <c:layout>
        <c:manualLayout>
          <c:xMode val="edge"/>
          <c:yMode val="edge"/>
          <c:x val="0.18897672104712776"/>
          <c:y val="1.071062117235346E-2"/>
        </c:manualLayout>
      </c:layout>
      <c:overlay val="0"/>
      <c:spPr>
        <a:noFill/>
        <a:ln w="25400">
          <a:noFill/>
        </a:ln>
      </c:spPr>
    </c:title>
    <c:autoTitleDeleted val="0"/>
    <c:plotArea>
      <c:layout>
        <c:manualLayout>
          <c:layoutTarget val="inner"/>
          <c:xMode val="edge"/>
          <c:yMode val="edge"/>
          <c:x val="0.17903258059144164"/>
          <c:y val="0.22859006854907604"/>
          <c:w val="0.45836013335887155"/>
          <c:h val="0.72454578624482202"/>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28F3-4FEA-8F00-86B3F1B4C30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28F3-4FEA-8F00-86B3F1B4C30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28F3-4FEA-8F00-86B3F1B4C30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28F3-4FEA-8F00-86B3F1B4C30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28F3-4FEA-8F00-86B3F1B4C30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28F3-4FEA-8F00-86B3F1B4C30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28F3-4FEA-8F00-86B3F1B4C30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7-28F3-4FEA-8F00-86B3F1B4C30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08-28F3-4FEA-8F00-86B3F1B4C30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09-28F3-4FEA-8F00-86B3F1B4C30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0A-28F3-4FEA-8F00-86B3F1B4C309}"/>
              </c:ext>
            </c:extLst>
          </c:dPt>
          <c:dLbls>
            <c:numFmt formatCode="0%" sourceLinked="0"/>
            <c:spPr>
              <a:noFill/>
              <a:ln w="25400">
                <a:noFill/>
              </a:ln>
            </c:spPr>
            <c:txPr>
              <a:bodyPr/>
              <a:lstStyle/>
              <a:p>
                <a:pPr>
                  <a:defRPr sz="105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'4 Myynti'!$AY$7:$AY$18</c:f>
              <c:strCache>
                <c:ptCount val="12"/>
                <c:pt idx="0">
                  <c:v>Silakka</c:v>
                </c:pt>
                <c:pt idx="1">
                  <c:v>Muikku</c:v>
                </c:pt>
                <c:pt idx="2">
                  <c:v>Kuha</c:v>
                </c:pt>
                <c:pt idx="3">
                  <c:v>Ahven</c:v>
                </c:pt>
                <c:pt idx="4">
                  <c:v>Siika</c:v>
                </c:pt>
                <c:pt idx="5">
                  <c:v>Hauki</c:v>
                </c:pt>
                <c:pt idx="6">
                  <c:v>Made</c:v>
                </c:pt>
                <c:pt idx="7">
                  <c:v>Lohi/taimen</c:v>
                </c:pt>
                <c:pt idx="8">
                  <c:v>Lahna</c:v>
                </c:pt>
                <c:pt idx="9">
                  <c:v>Särki</c:v>
                </c:pt>
                <c:pt idx="10">
                  <c:v>Kuore</c:v>
                </c:pt>
                <c:pt idx="11">
                  <c:v>Muu kala</c:v>
                </c:pt>
              </c:strCache>
            </c:strRef>
          </c:cat>
          <c:val>
            <c:numRef>
              <c:f>'4 Myynti'!$BA$7:$BA$18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28F3-4FEA-8F00-86B3F1B4C30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3167395742200281"/>
          <c:y val="0.17279076115485564"/>
          <c:w val="0.18288422280548144"/>
          <c:h val="0.74385161854770121"/>
        </c:manualLayout>
      </c:layout>
      <c:overlay val="0"/>
      <c:txPr>
        <a:bodyPr/>
        <a:lstStyle/>
        <a:p>
          <a:pPr>
            <a:defRPr sz="1000" b="1"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Myynnin arvo kalalajeittain ja kuukausittain</a:t>
            </a:r>
          </a:p>
        </c:rich>
      </c:tx>
      <c:layout>
        <c:manualLayout>
          <c:xMode val="edge"/>
          <c:yMode val="edge"/>
          <c:x val="0.17419349480049776"/>
          <c:y val="3.13317959265655E-2"/>
        </c:manualLayout>
      </c:layout>
      <c:overlay val="0"/>
      <c:spPr>
        <a:noFill/>
        <a:ln w="25400">
          <a:noFill/>
        </a:ln>
      </c:spPr>
    </c:title>
    <c:autoTitleDeleted val="0"/>
    <c:plotArea>
      <c:layout>
        <c:manualLayout>
          <c:layoutTarget val="inner"/>
          <c:xMode val="edge"/>
          <c:yMode val="edge"/>
          <c:x val="0.14193548387097629"/>
          <c:y val="0.15143603133159908"/>
          <c:w val="0.81774193548390384"/>
          <c:h val="0.54569190600522965"/>
        </c:manualLayout>
      </c:layout>
      <c:barChart>
        <c:barDir val="col"/>
        <c:grouping val="stacked"/>
        <c:varyColors val="0"/>
        <c:ser>
          <c:idx val="0"/>
          <c:order val="0"/>
          <c:tx>
            <c:strRef>
              <c:f>'4 Myynti'!$AY$7</c:f>
              <c:strCache>
                <c:ptCount val="1"/>
                <c:pt idx="0">
                  <c:v>Silakka</c:v>
                </c:pt>
              </c:strCache>
            </c:strRef>
          </c:tx>
          <c:spPr>
            <a:solidFill>
              <a:srgbClr val="9999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Myynti'!$BB$7:$BM$7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5E-4F67-BD15-8C8FE2C2D494}"/>
            </c:ext>
          </c:extLst>
        </c:ser>
        <c:ser>
          <c:idx val="1"/>
          <c:order val="1"/>
          <c:tx>
            <c:strRef>
              <c:f>'4 Myynti'!$AY$8</c:f>
              <c:strCache>
                <c:ptCount val="1"/>
                <c:pt idx="0">
                  <c:v>Muikku</c:v>
                </c:pt>
              </c:strCache>
            </c:strRef>
          </c:tx>
          <c:spPr>
            <a:solidFill>
              <a:srgbClr val="993366"/>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Myynti'!$BB$8:$BM$8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A5E-4F67-BD15-8C8FE2C2D494}"/>
            </c:ext>
          </c:extLst>
        </c:ser>
        <c:ser>
          <c:idx val="2"/>
          <c:order val="2"/>
          <c:tx>
            <c:strRef>
              <c:f>'4 Myynti'!$AY$9</c:f>
              <c:strCache>
                <c:ptCount val="1"/>
                <c:pt idx="0">
                  <c:v>Kuha</c:v>
                </c:pt>
              </c:strCache>
            </c:strRef>
          </c:tx>
          <c:spPr>
            <a:solidFill>
              <a:srgbClr val="FFFFCC"/>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Myynti'!$BB$9:$BM$9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A5E-4F67-BD15-8C8FE2C2D494}"/>
            </c:ext>
          </c:extLst>
        </c:ser>
        <c:ser>
          <c:idx val="3"/>
          <c:order val="3"/>
          <c:tx>
            <c:strRef>
              <c:f>'4 Myynti'!$AY$10</c:f>
              <c:strCache>
                <c:ptCount val="1"/>
                <c:pt idx="0">
                  <c:v>Ahven</c:v>
                </c:pt>
              </c:strCache>
            </c:strRef>
          </c:tx>
          <c:spPr>
            <a:solidFill>
              <a:srgbClr val="CCFF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Myynti'!$BB$10:$BM$10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A5E-4F67-BD15-8C8FE2C2D494}"/>
            </c:ext>
          </c:extLst>
        </c:ser>
        <c:ser>
          <c:idx val="4"/>
          <c:order val="4"/>
          <c:tx>
            <c:strRef>
              <c:f>'4 Myynti'!$AY$11</c:f>
              <c:strCache>
                <c:ptCount val="1"/>
                <c:pt idx="0">
                  <c:v>Siika</c:v>
                </c:pt>
              </c:strCache>
            </c:strRef>
          </c:tx>
          <c:spPr>
            <a:solidFill>
              <a:srgbClr val="660066"/>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Myynti'!$BB$11:$BM$11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A5E-4F67-BD15-8C8FE2C2D494}"/>
            </c:ext>
          </c:extLst>
        </c:ser>
        <c:ser>
          <c:idx val="5"/>
          <c:order val="5"/>
          <c:tx>
            <c:strRef>
              <c:f>'4 Myynti'!$AY$12</c:f>
              <c:strCache>
                <c:ptCount val="1"/>
                <c:pt idx="0">
                  <c:v>Hauki</c:v>
                </c:pt>
              </c:strCache>
            </c:strRef>
          </c:tx>
          <c:spPr>
            <a:solidFill>
              <a:srgbClr val="FF8080"/>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Myynti'!$BB$12:$BM$12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4A5E-4F67-BD15-8C8FE2C2D494}"/>
            </c:ext>
          </c:extLst>
        </c:ser>
        <c:ser>
          <c:idx val="6"/>
          <c:order val="6"/>
          <c:tx>
            <c:strRef>
              <c:f>'4 Myynti'!$AY$13</c:f>
              <c:strCache>
                <c:ptCount val="1"/>
                <c:pt idx="0">
                  <c:v>Made</c:v>
                </c:pt>
              </c:strCache>
            </c:strRef>
          </c:tx>
          <c:spPr>
            <a:solidFill>
              <a:srgbClr val="0066CC"/>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Myynti'!$BB$13:$BM$13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4A5E-4F67-BD15-8C8FE2C2D494}"/>
            </c:ext>
          </c:extLst>
        </c:ser>
        <c:ser>
          <c:idx val="7"/>
          <c:order val="7"/>
          <c:tx>
            <c:strRef>
              <c:f>'4 Myynti'!$AY$14</c:f>
              <c:strCache>
                <c:ptCount val="1"/>
                <c:pt idx="0">
                  <c:v>Lohi/taimen</c:v>
                </c:pt>
              </c:strCache>
            </c:strRef>
          </c:tx>
          <c:spPr>
            <a:solidFill>
              <a:srgbClr val="CCCC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Myynti'!$BB$14:$BM$14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A5E-4F67-BD15-8C8FE2C2D494}"/>
            </c:ext>
          </c:extLst>
        </c:ser>
        <c:ser>
          <c:idx val="8"/>
          <c:order val="8"/>
          <c:tx>
            <c:strRef>
              <c:f>'4 Myynti'!$AY$15</c:f>
              <c:strCache>
                <c:ptCount val="1"/>
                <c:pt idx="0">
                  <c:v>Lahna</c:v>
                </c:pt>
              </c:strCache>
            </c:strRef>
          </c:tx>
          <c:spPr>
            <a:solidFill>
              <a:srgbClr val="000080"/>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Myynti'!$BB$15:$BM$15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A5E-4F67-BD15-8C8FE2C2D494}"/>
            </c:ext>
          </c:extLst>
        </c:ser>
        <c:ser>
          <c:idx val="9"/>
          <c:order val="9"/>
          <c:tx>
            <c:strRef>
              <c:f>'4 Myynti'!$AY$16</c:f>
              <c:strCache>
                <c:ptCount val="1"/>
                <c:pt idx="0">
                  <c:v>Särki</c:v>
                </c:pt>
              </c:strCache>
            </c:strRef>
          </c:tx>
          <c:spPr>
            <a:solidFill>
              <a:srgbClr val="FF00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Myynti'!$BB$16:$BM$16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4A5E-4F67-BD15-8C8FE2C2D494}"/>
            </c:ext>
          </c:extLst>
        </c:ser>
        <c:ser>
          <c:idx val="10"/>
          <c:order val="10"/>
          <c:tx>
            <c:strRef>
              <c:f>'4 Myynti'!$AY$17</c:f>
              <c:strCache>
                <c:ptCount val="1"/>
                <c:pt idx="0">
                  <c:v>Kuore</c:v>
                </c:pt>
              </c:strCache>
            </c:strRef>
          </c:tx>
          <c:spPr>
            <a:solidFill>
              <a:srgbClr val="FFFF00"/>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Myynti'!$BB$17:$BM$17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4A5E-4F67-BD15-8C8FE2C2D494}"/>
            </c:ext>
          </c:extLst>
        </c:ser>
        <c:ser>
          <c:idx val="11"/>
          <c:order val="11"/>
          <c:tx>
            <c:strRef>
              <c:f>'4 Myynti'!$AY$18</c:f>
              <c:strCache>
                <c:ptCount val="1"/>
                <c:pt idx="0">
                  <c:v>Muu kala</c:v>
                </c:pt>
              </c:strCache>
            </c:strRef>
          </c:tx>
          <c:spPr>
            <a:solidFill>
              <a:srgbClr val="00FFFF"/>
            </a:solidFill>
            <a:ln w="12700">
              <a:solidFill>
                <a:srgbClr val="000000"/>
              </a:solidFill>
              <a:prstDash val="solid"/>
            </a:ln>
          </c:spPr>
          <c:invertIfNegative val="0"/>
          <c:cat>
            <c:numRef>
              <c:f>'4 Myynti'!$BB$6:$BM$6</c:f>
              <c:numCache>
                <c:formatCode>#,##0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'4 Myynti'!$BB$18:$BM$18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4A5E-4F67-BD15-8C8FE2C2D494}"/>
            </c:ext>
          </c:extLst>
        </c:ser>
        <c:dLbls>
          <c:showLegendKey val="0"/>
          <c:showVal val="0"/>
          <c:showCatName val="0"/>
          <c:showSerName val="0"/>
          <c:showPercent val="0"/>
          <c:showBubbleSize val="0"/>
        </c:dLbls>
        <c:gapWidth val="50"/>
        <c:overlap val="100"/>
        <c:axId val="38233216"/>
        <c:axId val="38235136"/>
      </c:barChart>
      <c:catAx>
        <c:axId val="38233216"/>
        <c:scaling>
          <c:orientation val="minMax"/>
        </c:scaling>
        <c:delete val="0"/>
        <c:axPos val="b"/>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49193561247881989"/>
              <c:y val="0.7710546471928583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38235136"/>
        <c:crosses val="autoZero"/>
        <c:auto val="1"/>
        <c:lblAlgn val="ctr"/>
        <c:lblOffset val="100"/>
        <c:tickLblSkip val="1"/>
        <c:tickMarkSkip val="1"/>
        <c:noMultiLvlLbl val="0"/>
      </c:catAx>
      <c:valAx>
        <c:axId val="382351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fi-FI" sz="1100" b="1" i="0" u="none" strike="noStrike" baseline="0">
                    <a:solidFill>
                      <a:srgbClr val="000000"/>
                    </a:solidFill>
                    <a:latin typeface="Arial"/>
                    <a:cs typeface="Arial"/>
                  </a:rPr>
                  <a:t>Myynin</a:t>
                </a:r>
                <a:r>
                  <a:rPr lang="fi-FI" sz="1200" b="1" i="0" u="none" strike="noStrike" baseline="0">
                    <a:solidFill>
                      <a:srgbClr val="000000"/>
                    </a:solidFill>
                    <a:latin typeface="Arial"/>
                    <a:cs typeface="Arial"/>
                  </a:rPr>
                  <a:t> arvo, €</a:t>
                </a:r>
              </a:p>
            </c:rich>
          </c:tx>
          <c:layout>
            <c:manualLayout>
              <c:xMode val="edge"/>
              <c:yMode val="edge"/>
              <c:x val="5.4081530947873791E-3"/>
              <c:y val="0.29427683017195438"/>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38233216"/>
        <c:crosses val="autoZero"/>
        <c:crossBetween val="between"/>
      </c:valAx>
      <c:spPr>
        <a:solidFill>
          <a:srgbClr val="CCFFFF"/>
        </a:solidFill>
        <a:ln w="12700">
          <a:solidFill>
            <a:srgbClr val="808080"/>
          </a:solidFill>
          <a:prstDash val="solid"/>
        </a:ln>
      </c:spPr>
    </c:plotArea>
    <c:legend>
      <c:legendPos val="b"/>
      <c:layout>
        <c:manualLayout>
          <c:xMode val="edge"/>
          <c:yMode val="edge"/>
          <c:x val="0.12653576530781752"/>
          <c:y val="0.8265594637082001"/>
          <c:w val="0.84778713578524156"/>
          <c:h val="0.14398603868448201"/>
        </c:manualLayout>
      </c:layout>
      <c:overlay val="0"/>
      <c:spPr>
        <a:solidFill>
          <a:srgbClr val="CCFFFF"/>
        </a:solidFill>
        <a:ln w="3175">
          <a:solidFill>
            <a:srgbClr val="000000"/>
          </a:solidFill>
          <a:prstDash val="solid"/>
        </a:ln>
      </c:spPr>
      <c:txPr>
        <a:bodyPr/>
        <a:lstStyle/>
        <a:p>
          <a:pPr>
            <a:defRPr sz="10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95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Muuttuvat kustannukset pyyntitavoittain</a:t>
            </a:r>
          </a:p>
        </c:rich>
      </c:tx>
      <c:layout>
        <c:manualLayout>
          <c:xMode val="edge"/>
          <c:yMode val="edge"/>
          <c:x val="0.26181114684608076"/>
          <c:y val="1.2658453578470156E-2"/>
        </c:manualLayout>
      </c:layout>
      <c:overlay val="0"/>
      <c:spPr>
        <a:noFill/>
        <a:ln w="25400">
          <a:noFill/>
        </a:ln>
      </c:spPr>
    </c:title>
    <c:autoTitleDeleted val="0"/>
    <c:plotArea>
      <c:layout>
        <c:manualLayout>
          <c:layoutTarget val="inner"/>
          <c:xMode val="edge"/>
          <c:yMode val="edge"/>
          <c:x val="0.14960644711318491"/>
          <c:y val="0.11829277289239276"/>
          <c:w val="0.80527199255525161"/>
          <c:h val="0.65251791628810818"/>
        </c:manualLayout>
      </c:layout>
      <c:barChart>
        <c:barDir val="col"/>
        <c:grouping val="stacked"/>
        <c:varyColors val="0"/>
        <c:ser>
          <c:idx val="0"/>
          <c:order val="0"/>
          <c:tx>
            <c:strRef>
              <c:f>'6 Muuttuvat kustannukset'!$B$32</c:f>
              <c:strCache>
                <c:ptCount val="1"/>
                <c:pt idx="0">
                  <c:v>Työkustannukset</c:v>
                </c:pt>
              </c:strCache>
            </c:strRef>
          </c:tx>
          <c:spPr>
            <a:solidFill>
              <a:srgbClr val="9999FF"/>
            </a:solidFill>
            <a:ln w="12700">
              <a:solidFill>
                <a:srgbClr val="000000"/>
              </a:solidFill>
              <a:prstDash val="solid"/>
            </a:ln>
          </c:spPr>
          <c:invertIfNegative val="0"/>
          <c:cat>
            <c:strRef>
              <c:f>'6 Muuttuvat kustannukset'!$C$31:$I$31</c:f>
              <c:strCache>
                <c:ptCount val="7"/>
                <c:pt idx="0">
                  <c:v>Koko yritys</c:v>
                </c:pt>
                <c:pt idx="1">
                  <c:v>Verkko1</c:v>
                </c:pt>
                <c:pt idx="2">
                  <c:v>Verkko2</c:v>
                </c:pt>
                <c:pt idx="3">
                  <c:v>Isorysä1</c:v>
                </c:pt>
                <c:pt idx="4">
                  <c:v>Isorysä2</c:v>
                </c:pt>
                <c:pt idx="5">
                  <c:v>PU-rysä1</c:v>
                </c:pt>
                <c:pt idx="6">
                  <c:v>PU-rysä2</c:v>
                </c:pt>
              </c:strCache>
            </c:strRef>
          </c:cat>
          <c:val>
            <c:numRef>
              <c:f>'6 Muuttuvat kustannukset'!$C$32:$I$32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677-4380-9DBF-AEE6F3188435}"/>
            </c:ext>
          </c:extLst>
        </c:ser>
        <c:ser>
          <c:idx val="1"/>
          <c:order val="1"/>
          <c:tx>
            <c:strRef>
              <c:f>'6 Muuttuvat kustannukset'!$B$33</c:f>
              <c:strCache>
                <c:ptCount val="1"/>
                <c:pt idx="0">
                  <c:v>Polttoainekustannukset</c:v>
                </c:pt>
              </c:strCache>
            </c:strRef>
          </c:tx>
          <c:spPr>
            <a:solidFill>
              <a:srgbClr val="993366"/>
            </a:solidFill>
            <a:ln w="12700">
              <a:solidFill>
                <a:srgbClr val="000000"/>
              </a:solidFill>
              <a:prstDash val="solid"/>
            </a:ln>
          </c:spPr>
          <c:invertIfNegative val="0"/>
          <c:cat>
            <c:strRef>
              <c:f>'6 Muuttuvat kustannukset'!$C$31:$I$31</c:f>
              <c:strCache>
                <c:ptCount val="7"/>
                <c:pt idx="0">
                  <c:v>Koko yritys</c:v>
                </c:pt>
                <c:pt idx="1">
                  <c:v>Verkko1</c:v>
                </c:pt>
                <c:pt idx="2">
                  <c:v>Verkko2</c:v>
                </c:pt>
                <c:pt idx="3">
                  <c:v>Isorysä1</c:v>
                </c:pt>
                <c:pt idx="4">
                  <c:v>Isorysä2</c:v>
                </c:pt>
                <c:pt idx="5">
                  <c:v>PU-rysä1</c:v>
                </c:pt>
                <c:pt idx="6">
                  <c:v>PU-rysä2</c:v>
                </c:pt>
              </c:strCache>
            </c:strRef>
          </c:cat>
          <c:val>
            <c:numRef>
              <c:f>'6 Muuttuvat kustannukset'!$C$33:$I$33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4677-4380-9DBF-AEE6F3188435}"/>
            </c:ext>
          </c:extLst>
        </c:ser>
        <c:ser>
          <c:idx val="2"/>
          <c:order val="2"/>
          <c:tx>
            <c:strRef>
              <c:f>'6 Muuttuvat kustannukset'!$B$34</c:f>
              <c:strCache>
                <c:ptCount val="1"/>
                <c:pt idx="0">
                  <c:v>Muut muuttuvat kustannukset</c:v>
                </c:pt>
              </c:strCache>
            </c:strRef>
          </c:tx>
          <c:spPr>
            <a:solidFill>
              <a:srgbClr val="FFFFCC"/>
            </a:solidFill>
            <a:ln w="12700">
              <a:solidFill>
                <a:srgbClr val="000000"/>
              </a:solidFill>
              <a:prstDash val="solid"/>
            </a:ln>
          </c:spPr>
          <c:invertIfNegative val="0"/>
          <c:cat>
            <c:strRef>
              <c:f>'6 Muuttuvat kustannukset'!$C$31:$I$31</c:f>
              <c:strCache>
                <c:ptCount val="7"/>
                <c:pt idx="0">
                  <c:v>Koko yritys</c:v>
                </c:pt>
                <c:pt idx="1">
                  <c:v>Verkko1</c:v>
                </c:pt>
                <c:pt idx="2">
                  <c:v>Verkko2</c:v>
                </c:pt>
                <c:pt idx="3">
                  <c:v>Isorysä1</c:v>
                </c:pt>
                <c:pt idx="4">
                  <c:v>Isorysä2</c:v>
                </c:pt>
                <c:pt idx="5">
                  <c:v>PU-rysä1</c:v>
                </c:pt>
                <c:pt idx="6">
                  <c:v>PU-rysä2</c:v>
                </c:pt>
              </c:strCache>
            </c:strRef>
          </c:cat>
          <c:val>
            <c:numRef>
              <c:f>'6 Muuttuvat kustannukset'!$C$34:$I$34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4677-4380-9DBF-AEE6F3188435}"/>
            </c:ext>
          </c:extLst>
        </c:ser>
        <c:dLbls>
          <c:showLegendKey val="0"/>
          <c:showVal val="0"/>
          <c:showCatName val="0"/>
          <c:showSerName val="0"/>
          <c:showPercent val="0"/>
          <c:showBubbleSize val="0"/>
        </c:dLbls>
        <c:gapWidth val="150"/>
        <c:overlap val="100"/>
        <c:axId val="38340096"/>
        <c:axId val="38341632"/>
      </c:barChart>
      <c:catAx>
        <c:axId val="38340096"/>
        <c:scaling>
          <c:orientation val="minMax"/>
        </c:scaling>
        <c:delete val="0"/>
        <c:axPos val="b"/>
        <c:numFmt formatCode="General"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38341632"/>
        <c:crosses val="autoZero"/>
        <c:auto val="1"/>
        <c:lblAlgn val="ctr"/>
        <c:lblOffset val="100"/>
        <c:tickLblSkip val="1"/>
        <c:tickMarkSkip val="1"/>
        <c:noMultiLvlLbl val="0"/>
      </c:catAx>
      <c:valAx>
        <c:axId val="38341632"/>
        <c:scaling>
          <c:orientation val="minMax"/>
        </c:scaling>
        <c:delete val="0"/>
        <c:axPos val="l"/>
        <c:majorGridlines>
          <c:spPr>
            <a:ln w="3175">
              <a:solidFill>
                <a:srgbClr val="000000"/>
              </a:solidFill>
              <a:prstDash val="sysDash"/>
            </a:ln>
          </c:spPr>
        </c:majorGridlines>
        <c:title>
          <c:tx>
            <c:rich>
              <a:bodyPr/>
              <a:lstStyle/>
              <a:p>
                <a:pPr>
                  <a:defRPr sz="1200" b="1" i="0" u="none" strike="noStrike" baseline="0">
                    <a:solidFill>
                      <a:srgbClr val="000000"/>
                    </a:solidFill>
                    <a:latin typeface="Arial"/>
                    <a:ea typeface="Arial"/>
                    <a:cs typeface="Arial"/>
                  </a:defRPr>
                </a:pPr>
                <a:r>
                  <a:rPr lang="fi-FI"/>
                  <a:t>Muuttuvat kustannukset, €</a:t>
                </a:r>
              </a:p>
            </c:rich>
          </c:tx>
          <c:layout>
            <c:manualLayout>
              <c:xMode val="edge"/>
              <c:yMode val="edge"/>
              <c:x val="9.047437145474185E-3"/>
              <c:y val="0.2909399841766193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fi-FI"/>
          </a:p>
        </c:txPr>
        <c:crossAx val="38340096"/>
        <c:crosses val="autoZero"/>
        <c:crossBetween val="between"/>
      </c:valAx>
      <c:spPr>
        <a:solidFill>
          <a:srgbClr val="CCFFFF"/>
        </a:solidFill>
        <a:ln w="12700">
          <a:solidFill>
            <a:srgbClr val="808080"/>
          </a:solidFill>
          <a:prstDash val="solid"/>
        </a:ln>
      </c:spPr>
    </c:plotArea>
    <c:legend>
      <c:legendPos val="b"/>
      <c:layout>
        <c:manualLayout>
          <c:xMode val="edge"/>
          <c:yMode val="edge"/>
          <c:x val="0.1312368817747547"/>
          <c:y val="0.87121752125481933"/>
          <c:w val="0.84188483481820064"/>
          <c:h val="0.10867322206733984"/>
        </c:manualLayout>
      </c:layout>
      <c:overlay val="0"/>
      <c:spPr>
        <a:solidFill>
          <a:srgbClr val="33CCCC"/>
        </a:solidFill>
        <a:ln w="25400">
          <a:noFill/>
        </a:ln>
      </c:spPr>
      <c:txPr>
        <a:bodyPr/>
        <a:lstStyle/>
        <a:p>
          <a:pPr>
            <a:defRPr sz="10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8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18425491765276741"/>
          <c:y val="4.3015791127334134E-2"/>
        </c:manualLayout>
      </c:layout>
      <c:overlay val="0"/>
      <c:spPr>
        <a:noFill/>
        <a:ln w="25400">
          <a:noFill/>
        </a:ln>
      </c:spPr>
    </c:title>
    <c:autoTitleDeleted val="0"/>
    <c:plotArea>
      <c:layout>
        <c:manualLayout>
          <c:layoutTarget val="inner"/>
          <c:xMode val="edge"/>
          <c:yMode val="edge"/>
          <c:x val="0.16407156584153637"/>
          <c:y val="0.16053891090749794"/>
          <c:w val="0.58548387096772059"/>
          <c:h val="0.65561224489795356"/>
        </c:manualLayout>
      </c:layout>
      <c:barChart>
        <c:barDir val="col"/>
        <c:grouping val="stacked"/>
        <c:varyColors val="0"/>
        <c:ser>
          <c:idx val="0"/>
          <c:order val="0"/>
          <c:tx>
            <c:strRef>
              <c:f>'3 Saalis'!$B$10</c:f>
              <c:strCache>
                <c:ptCount val="1"/>
                <c:pt idx="0">
                  <c:v>Muikku</c:v>
                </c:pt>
              </c:strCache>
            </c:strRef>
          </c:tx>
          <c:spPr>
            <a:solidFill>
              <a:srgbClr val="9999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Saalis'!$E$10:$P$10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73B-40A4-AE4A-231510462836}"/>
            </c:ext>
          </c:extLst>
        </c:ser>
        <c:ser>
          <c:idx val="1"/>
          <c:order val="1"/>
          <c:tx>
            <c:strRef>
              <c:f>'3 Saalis'!$B$11</c:f>
              <c:strCache>
                <c:ptCount val="1"/>
                <c:pt idx="0">
                  <c:v>Kuha</c:v>
                </c:pt>
              </c:strCache>
            </c:strRef>
          </c:tx>
          <c:spPr>
            <a:solidFill>
              <a:srgbClr val="993366"/>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Saalis'!$E$11:$P$11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73B-40A4-AE4A-231510462836}"/>
            </c:ext>
          </c:extLst>
        </c:ser>
        <c:ser>
          <c:idx val="2"/>
          <c:order val="2"/>
          <c:tx>
            <c:strRef>
              <c:f>'3 Saalis'!$B$12</c:f>
              <c:strCache>
                <c:ptCount val="1"/>
                <c:pt idx="0">
                  <c:v>Ahven</c:v>
                </c:pt>
              </c:strCache>
            </c:strRef>
          </c:tx>
          <c:spPr>
            <a:solidFill>
              <a:srgbClr val="FFFFCC"/>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Saalis'!$E$12:$P$12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D73B-40A4-AE4A-231510462836}"/>
            </c:ext>
          </c:extLst>
        </c:ser>
        <c:ser>
          <c:idx val="3"/>
          <c:order val="3"/>
          <c:tx>
            <c:strRef>
              <c:f>'3 Saalis'!$B$13</c:f>
              <c:strCache>
                <c:ptCount val="1"/>
                <c:pt idx="0">
                  <c:v>Siika</c:v>
                </c:pt>
              </c:strCache>
            </c:strRef>
          </c:tx>
          <c:spPr>
            <a:solidFill>
              <a:srgbClr val="CCFF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Saalis'!$E$13:$P$13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D73B-40A4-AE4A-231510462836}"/>
            </c:ext>
          </c:extLst>
        </c:ser>
        <c:ser>
          <c:idx val="4"/>
          <c:order val="4"/>
          <c:tx>
            <c:strRef>
              <c:f>'3 Saalis'!$B$14</c:f>
              <c:strCache>
                <c:ptCount val="1"/>
                <c:pt idx="0">
                  <c:v>Hauki</c:v>
                </c:pt>
              </c:strCache>
            </c:strRef>
          </c:tx>
          <c:spPr>
            <a:solidFill>
              <a:srgbClr val="660066"/>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Saalis'!$E$14:$P$14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D73B-40A4-AE4A-231510462836}"/>
            </c:ext>
          </c:extLst>
        </c:ser>
        <c:ser>
          <c:idx val="5"/>
          <c:order val="5"/>
          <c:tx>
            <c:strRef>
              <c:f>'3 Saalis'!$B$15</c:f>
              <c:strCache>
                <c:ptCount val="1"/>
                <c:pt idx="0">
                  <c:v>Made</c:v>
                </c:pt>
              </c:strCache>
            </c:strRef>
          </c:tx>
          <c:spPr>
            <a:solidFill>
              <a:srgbClr val="FF8080"/>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Saalis'!$E$15:$P$15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D73B-40A4-AE4A-231510462836}"/>
            </c:ext>
          </c:extLst>
        </c:ser>
        <c:ser>
          <c:idx val="6"/>
          <c:order val="6"/>
          <c:tx>
            <c:strRef>
              <c:f>'3 Saalis'!$B$16</c:f>
              <c:strCache>
                <c:ptCount val="1"/>
                <c:pt idx="0">
                  <c:v>Lohi/taimen</c:v>
                </c:pt>
              </c:strCache>
            </c:strRef>
          </c:tx>
          <c:spPr>
            <a:solidFill>
              <a:srgbClr val="0066CC"/>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Saalis'!$E$16:$P$16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D73B-40A4-AE4A-231510462836}"/>
            </c:ext>
          </c:extLst>
        </c:ser>
        <c:ser>
          <c:idx val="7"/>
          <c:order val="7"/>
          <c:tx>
            <c:strRef>
              <c:f>'3 Saalis'!$B$17</c:f>
              <c:strCache>
                <c:ptCount val="1"/>
                <c:pt idx="0">
                  <c:v>Lahna</c:v>
                </c:pt>
              </c:strCache>
            </c:strRef>
          </c:tx>
          <c:spPr>
            <a:solidFill>
              <a:srgbClr val="CCCC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Saalis'!$E$17:$P$17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D73B-40A4-AE4A-231510462836}"/>
            </c:ext>
          </c:extLst>
        </c:ser>
        <c:ser>
          <c:idx val="8"/>
          <c:order val="8"/>
          <c:tx>
            <c:strRef>
              <c:f>'3 Saalis'!$B$18</c:f>
              <c:strCache>
                <c:ptCount val="1"/>
                <c:pt idx="0">
                  <c:v>Särki</c:v>
                </c:pt>
              </c:strCache>
            </c:strRef>
          </c:tx>
          <c:spPr>
            <a:solidFill>
              <a:srgbClr val="000080"/>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Saalis'!$E$18:$P$18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73B-40A4-AE4A-231510462836}"/>
            </c:ext>
          </c:extLst>
        </c:ser>
        <c:ser>
          <c:idx val="9"/>
          <c:order val="9"/>
          <c:tx>
            <c:strRef>
              <c:f>'3 Saalis'!$B$19</c:f>
              <c:strCache>
                <c:ptCount val="1"/>
                <c:pt idx="0">
                  <c:v>Kuore</c:v>
                </c:pt>
              </c:strCache>
            </c:strRef>
          </c:tx>
          <c:spPr>
            <a:solidFill>
              <a:srgbClr val="FF00FF"/>
            </a:solidFill>
            <a:ln w="12700">
              <a:solidFill>
                <a:srgbClr val="000000"/>
              </a:solidFill>
              <a:prstDash val="solid"/>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Saalis'!$E$19:$P$19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D73B-40A4-AE4A-231510462836}"/>
            </c:ext>
          </c:extLst>
        </c:ser>
        <c:ser>
          <c:idx val="10"/>
          <c:order val="10"/>
          <c:tx>
            <c:strRef>
              <c:f>'3 Saalis'!$B$20</c:f>
              <c:strCache>
                <c:ptCount val="1"/>
                <c:pt idx="0">
                  <c:v>Muu kala</c:v>
                </c:pt>
              </c:strCache>
            </c:strRef>
          </c:tx>
          <c:spPr>
            <a:ln>
              <a:solidFill>
                <a:schemeClr val="tx1"/>
              </a:solidFill>
            </a:ln>
          </c:spPr>
          <c:invertIfNegative val="0"/>
          <c:cat>
            <c:numRef>
              <c:f>'3 Saalis'!$E$8:$P$8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Saalis'!$E$20:$P$20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D73B-40A4-AE4A-231510462836}"/>
            </c:ext>
          </c:extLst>
        </c:ser>
        <c:dLbls>
          <c:showLegendKey val="0"/>
          <c:showVal val="0"/>
          <c:showCatName val="0"/>
          <c:showSerName val="0"/>
          <c:showPercent val="0"/>
          <c:showBubbleSize val="0"/>
        </c:dLbls>
        <c:gapWidth val="50"/>
        <c:overlap val="100"/>
        <c:axId val="115208960"/>
        <c:axId val="115210880"/>
      </c:barChart>
      <c:catAx>
        <c:axId val="11520896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935477183000742"/>
              <c:y val="0.8979593333965947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210880"/>
        <c:crosses val="autoZero"/>
        <c:auto val="1"/>
        <c:lblAlgn val="ctr"/>
        <c:lblOffset val="100"/>
        <c:tickLblSkip val="1"/>
        <c:tickMarkSkip val="1"/>
        <c:noMultiLvlLbl val="0"/>
      </c:catAx>
      <c:valAx>
        <c:axId val="11521088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1.0584970996272525E-2"/>
              <c:y val="0.37525952629415332"/>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208960"/>
        <c:crosses val="autoZero"/>
        <c:crossBetween val="between"/>
      </c:valAx>
      <c:spPr>
        <a:solidFill>
          <a:srgbClr val="CCFFFF"/>
        </a:solidFill>
        <a:ln w="12700">
          <a:solidFill>
            <a:srgbClr val="CCFFFF"/>
          </a:solidFill>
          <a:prstDash val="solid"/>
        </a:ln>
      </c:spPr>
    </c:plotArea>
    <c:legend>
      <c:legendPos val="r"/>
      <c:layout>
        <c:manualLayout>
          <c:xMode val="edge"/>
          <c:yMode val="edge"/>
          <c:x val="0.76123284589425244"/>
          <c:y val="0.15493583783955037"/>
          <c:w val="0.23231531352698881"/>
          <c:h val="0.67623894001201645"/>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17300049172685544"/>
          <c:y val="2.4597199072743645E-2"/>
        </c:manualLayout>
      </c:layout>
      <c:overlay val="0"/>
    </c:title>
    <c:autoTitleDeleted val="0"/>
    <c:plotArea>
      <c:layout>
        <c:manualLayout>
          <c:layoutTarget val="inner"/>
          <c:xMode val="edge"/>
          <c:yMode val="edge"/>
          <c:x val="7.3476576242590338E-2"/>
          <c:y val="0.20541703667622643"/>
          <c:w val="0.47317611888918731"/>
          <c:h val="0.64602715458540905"/>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73F0-45E9-B764-8CAB079B957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73F0-45E9-B764-8CAB079B957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73F0-45E9-B764-8CAB079B957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73F0-45E9-B764-8CAB079B957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73F0-45E9-B764-8CAB079B957E}"/>
              </c:ext>
            </c:extLst>
          </c:dPt>
          <c:dLbls>
            <c:dLbl>
              <c:idx val="2"/>
              <c:layout>
                <c:manualLayout>
                  <c:x val="1.6606911920162302E-2"/>
                  <c:y val="-0.10154575855284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F0-45E9-B764-8CAB079B957E}"/>
                </c:ext>
              </c:extLst>
            </c:dLbl>
            <c:spPr>
              <a:noFill/>
              <a:ln>
                <a:noFill/>
              </a:ln>
              <a:effectLst/>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kustannukset'!$B$7:$B$12</c:f>
              <c:strCache>
                <c:ptCount val="6"/>
                <c:pt idx="0">
                  <c:v>Pyydysten viritys</c:v>
                </c:pt>
                <c:pt idx="1">
                  <c:v>Kalastusmatkat  </c:v>
                </c:pt>
                <c:pt idx="2">
                  <c:v>Lajittelu/pakkaus</c:v>
                </c:pt>
                <c:pt idx="3">
                  <c:v>Perkaus/fileointi/mädin talteenotto</c:v>
                </c:pt>
                <c:pt idx="4">
                  <c:v>Kalan kuljetukset</c:v>
                </c:pt>
                <c:pt idx="5">
                  <c:v>Pyydysten poisto</c:v>
                </c:pt>
              </c:strCache>
            </c:strRef>
          </c:cat>
          <c:val>
            <c:numRef>
              <c:f>'6 Muuttuvat kustannukset'!$J$7:$J$12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73F0-45E9-B764-8CAB079B957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4375602684713"/>
          <c:y val="0.19221641090484129"/>
          <c:w val="0.32116456245889552"/>
          <c:h val="0.71134969442690144"/>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115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4309423292163612"/>
          <c:y val="3.8845515335318062E-2"/>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AD98-4D7B-B9B3-C1643087963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AD98-4D7B-B9B3-C1643087963C}"/>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kustannukset'!$F$32:$F$34</c:f>
              <c:numCache>
                <c:formatCode>#,##0</c:formatCode>
                <c:ptCount val="3"/>
                <c:pt idx="0">
                  <c:v>0</c:v>
                </c:pt>
                <c:pt idx="1">
                  <c:v>0</c:v>
                </c:pt>
                <c:pt idx="2">
                  <c:v>0</c:v>
                </c:pt>
              </c:numCache>
            </c:numRef>
          </c:val>
          <c:extLst>
            <c:ext xmlns:c16="http://schemas.microsoft.com/office/drawing/2014/chart" uri="{C3380CC4-5D6E-409C-BE32-E72D297353CC}">
              <c16:uniqueId val="{00000002-AD98-4D7B-B9B3-C1643087963C}"/>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681616169549881"/>
          <c:y val="0.33012659636627883"/>
          <c:w val="0.33373940476891784"/>
          <c:h val="0.4432586739378544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1478909116704385"/>
          <c:y val="3.9061293808862182E-2"/>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B1E3-4802-B3C6-A96A7B16171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B1E3-4802-B3C6-A96A7B16171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B1E3-4802-B3C6-A96A7B16171E}"/>
              </c:ext>
            </c:extLst>
          </c:dPt>
          <c:dLbls>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kustannukset'!$B$38:$B$41</c:f>
              <c:strCache>
                <c:ptCount val="4"/>
                <c:pt idx="0">
                  <c:v>Pyydysten viritys</c:v>
                </c:pt>
                <c:pt idx="1">
                  <c:v>Kalastus</c:v>
                </c:pt>
                <c:pt idx="2">
                  <c:v>Kalan käsittely ja kuljetus</c:v>
                </c:pt>
                <c:pt idx="3">
                  <c:v>Pyydysten poisto</c:v>
                </c:pt>
              </c:strCache>
            </c:strRef>
          </c:cat>
          <c:val>
            <c:numRef>
              <c:f>'6 Muuttuvat kustannukset'!$F$38:$F$41</c:f>
              <c:numCache>
                <c:formatCode>#,##0</c:formatCode>
                <c:ptCount val="4"/>
                <c:pt idx="0">
                  <c:v>0</c:v>
                </c:pt>
                <c:pt idx="1">
                  <c:v>0</c:v>
                </c:pt>
                <c:pt idx="2">
                  <c:v>0</c:v>
                </c:pt>
                <c:pt idx="3">
                  <c:v>0</c:v>
                </c:pt>
              </c:numCache>
            </c:numRef>
          </c:val>
          <c:extLst>
            <c:ext xmlns:c16="http://schemas.microsoft.com/office/drawing/2014/chart" uri="{C3380CC4-5D6E-409C-BE32-E72D297353CC}">
              <c16:uniqueId val="{00000003-B1E3-4802-B3C6-A96A7B16171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52170997052891"/>
          <c:y val="0.2688321572260215"/>
          <c:w val="0.32981511217732284"/>
          <c:h val="0.55919861228421286"/>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17315852759784339"/>
          <c:y val="5.6000699912512442E-2"/>
        </c:manualLayout>
      </c:layout>
      <c:overlay val="0"/>
    </c:title>
    <c:autoTitleDeleted val="0"/>
    <c:plotArea>
      <c:layout>
        <c:manualLayout>
          <c:layoutTarget val="inner"/>
          <c:xMode val="edge"/>
          <c:yMode val="edge"/>
          <c:x val="9.0184481330241595E-2"/>
          <c:y val="0.24458281024138498"/>
          <c:w val="0.46237587091748139"/>
          <c:h val="0.6519233330997135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9D3A-4B96-AECF-78CA1DB6E27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9D3A-4B96-AECF-78CA1DB6E27A}"/>
              </c:ext>
            </c:extLst>
          </c:dPt>
          <c:dPt>
            <c:idx val="3"/>
            <c:bubble3D val="0"/>
            <c:spPr>
              <a:solidFill>
                <a:schemeClr val="accent6"/>
              </a:solidFill>
              <a:ln w="12700">
                <a:solidFill>
                  <a:srgbClr val="000000"/>
                </a:solidFill>
                <a:prstDash val="solid"/>
              </a:ln>
            </c:spPr>
            <c:extLst>
              <c:ext xmlns:c16="http://schemas.microsoft.com/office/drawing/2014/chart" uri="{C3380CC4-5D6E-409C-BE32-E72D297353CC}">
                <c16:uniqueId val="{00000002-9D3A-4B96-AECF-78CA1DB6E27A}"/>
              </c:ext>
            </c:extLst>
          </c:dPt>
          <c:dLbls>
            <c:spPr>
              <a:noFill/>
              <a:ln>
                <a:noFill/>
              </a:ln>
              <a:effectLst/>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kustannukset'!$B$14,'6 Muuttuvat kustannukset'!$B$17,'6 Muuttuvat kustannukset'!$B$21,'6 Muuttuvat kustannukset'!$B$23)</c:f>
              <c:strCache>
                <c:ptCount val="4"/>
                <c:pt idx="0">
                  <c:v>Pyydysten viritys</c:v>
                </c:pt>
                <c:pt idx="1">
                  <c:v>Kalastusmatkat  </c:v>
                </c:pt>
                <c:pt idx="2">
                  <c:v>Kalan kuljetukset</c:v>
                </c:pt>
                <c:pt idx="3">
                  <c:v>Pyydysten poisto</c:v>
                </c:pt>
              </c:strCache>
            </c:strRef>
          </c:cat>
          <c:val>
            <c:numRef>
              <c:f>('6 Muuttuvat kustannukset'!$J$14,'6 Muuttuvat kustannukset'!$J$17,'6 Muuttuvat kustannukset'!$J$21,'6 Muuttuvat kustannukset'!$J$23)</c:f>
              <c:numCache>
                <c:formatCode>#,##0</c:formatCode>
                <c:ptCount val="4"/>
                <c:pt idx="0">
                  <c:v>0</c:v>
                </c:pt>
                <c:pt idx="1">
                  <c:v>0</c:v>
                </c:pt>
                <c:pt idx="2">
                  <c:v>0</c:v>
                </c:pt>
                <c:pt idx="3">
                  <c:v>0</c:v>
                </c:pt>
              </c:numCache>
            </c:numRef>
          </c:val>
          <c:extLst>
            <c:ext xmlns:c16="http://schemas.microsoft.com/office/drawing/2014/chart" uri="{C3380CC4-5D6E-409C-BE32-E72D297353CC}">
              <c16:uniqueId val="{00000003-9D3A-4B96-AECF-78CA1DB6E27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539337755193233"/>
          <c:y val="0.36655818022748143"/>
          <c:w val="0.39292915971711118"/>
          <c:h val="0.37228066491689388"/>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3325905511811023"/>
          <c:y val="4.6749906261717288E-2"/>
        </c:manualLayout>
      </c:layout>
      <c:overlay val="0"/>
      <c:spPr>
        <a:noFill/>
        <a:ln w="25400">
          <a:noFill/>
        </a:ln>
      </c:spPr>
    </c:title>
    <c:autoTitleDeleted val="0"/>
    <c:plotArea>
      <c:layout>
        <c:manualLayout>
          <c:layoutTarget val="inner"/>
          <c:xMode val="edge"/>
          <c:yMode val="edge"/>
          <c:x val="0.10546606092831211"/>
          <c:y val="0.22625249246948245"/>
          <c:w val="0.45241771293727134"/>
          <c:h val="0.6691823773040616"/>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B7D8-4808-BA50-3588FFCBEE1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B7D8-4808-BA50-3588FFCBEE1D}"/>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kustannukset'!$D$32:$D$34</c:f>
              <c:numCache>
                <c:formatCode>#,##0</c:formatCode>
                <c:ptCount val="3"/>
                <c:pt idx="0">
                  <c:v>0</c:v>
                </c:pt>
                <c:pt idx="1">
                  <c:v>0</c:v>
                </c:pt>
                <c:pt idx="2">
                  <c:v>0</c:v>
                </c:pt>
              </c:numCache>
            </c:numRef>
          </c:val>
          <c:extLst>
            <c:ext xmlns:c16="http://schemas.microsoft.com/office/drawing/2014/chart" uri="{C3380CC4-5D6E-409C-BE32-E72D297353CC}">
              <c16:uniqueId val="{00000002-B7D8-4808-BA50-3588FFCBEE1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0768398950131242"/>
          <c:y val="0.35821897262842722"/>
          <c:w val="0.3252902887139113"/>
          <c:h val="0.4229962504686910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20082673876291779"/>
          <c:y val="2.5687918042502852E-2"/>
        </c:manualLayout>
      </c:layout>
      <c:overlay val="0"/>
      <c:spPr>
        <a:noFill/>
        <a:ln w="25400">
          <a:noFill/>
        </a:ln>
      </c:spPr>
    </c:title>
    <c:autoTitleDeleted val="0"/>
    <c:plotArea>
      <c:layout>
        <c:manualLayout>
          <c:layoutTarget val="inner"/>
          <c:xMode val="edge"/>
          <c:yMode val="edge"/>
          <c:x val="0.11787951858768089"/>
          <c:y val="0.20101378994062324"/>
          <c:w val="0.50203083821325123"/>
          <c:h val="0.69549431182625465"/>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0FBE-4132-9437-94F81105AF9C}"/>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FBE-4132-9437-94F81105AF9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0FBE-4132-9437-94F81105AF9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0FBE-4132-9437-94F81105AF9C}"/>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kustannukset'!$B$8:$B$11</c:f>
              <c:strCache>
                <c:ptCount val="4"/>
                <c:pt idx="0">
                  <c:v>Kalastusmatkat  </c:v>
                </c:pt>
                <c:pt idx="1">
                  <c:v>Lajittelu/pakkaus</c:v>
                </c:pt>
                <c:pt idx="2">
                  <c:v>Perkaus/fileointi/mädin talteenotto</c:v>
                </c:pt>
                <c:pt idx="3">
                  <c:v>Kalan kuljetukset</c:v>
                </c:pt>
              </c:strCache>
            </c:strRef>
          </c:cat>
          <c:val>
            <c:numRef>
              <c:f>'6 Muuttuvat kustannukset'!$D$8:$D$11</c:f>
              <c:numCache>
                <c:formatCode>#,##0</c:formatCode>
                <c:ptCount val="4"/>
                <c:pt idx="0">
                  <c:v>0</c:v>
                </c:pt>
                <c:pt idx="1">
                  <c:v>0</c:v>
                </c:pt>
                <c:pt idx="2">
                  <c:v>0</c:v>
                </c:pt>
                <c:pt idx="3">
                  <c:v>0</c:v>
                </c:pt>
              </c:numCache>
            </c:numRef>
          </c:val>
          <c:extLst>
            <c:ext xmlns:c16="http://schemas.microsoft.com/office/drawing/2014/chart" uri="{C3380CC4-5D6E-409C-BE32-E72D297353CC}">
              <c16:uniqueId val="{00000004-0FBE-4132-9437-94F81105AF9C}"/>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704642182885063"/>
          <c:y val="0.28056896113793439"/>
          <c:w val="0.33658055900908168"/>
          <c:h val="0.56687607597437462"/>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26269190489119199"/>
          <c:y val="5.5299612972107302E-2"/>
        </c:manualLayout>
      </c:layout>
      <c:overlay val="0"/>
      <c:spPr>
        <a:noFill/>
        <a:ln w="25400">
          <a:noFill/>
        </a:ln>
      </c:spPr>
    </c:title>
    <c:autoTitleDeleted val="0"/>
    <c:plotArea>
      <c:layout>
        <c:manualLayout>
          <c:layoutTarget val="inner"/>
          <c:xMode val="edge"/>
          <c:yMode val="edge"/>
          <c:x val="0.13565382062194137"/>
          <c:y val="0.26382428111227846"/>
          <c:w val="0.4637156528978269"/>
          <c:h val="0.62824574856215565"/>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DDD5-4080-83AA-8B0E7CC75B0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DD5-4080-83AA-8B0E7CC75B07}"/>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kustannukset'!$B$17,'6 Muuttuvat kustannukset'!$B$21)</c:f>
              <c:strCache>
                <c:ptCount val="2"/>
                <c:pt idx="0">
                  <c:v>Kalastusmatkat  </c:v>
                </c:pt>
                <c:pt idx="1">
                  <c:v>Kalan kuljetukset</c:v>
                </c:pt>
              </c:strCache>
            </c:strRef>
          </c:cat>
          <c:val>
            <c:numRef>
              <c:f>('6 Muuttuvat kustannukset'!$D$17,'6 Muuttuvat kustannukset'!$D$21)</c:f>
              <c:numCache>
                <c:formatCode>#,##0</c:formatCode>
                <c:ptCount val="2"/>
                <c:pt idx="0">
                  <c:v>0</c:v>
                </c:pt>
                <c:pt idx="1">
                  <c:v>0</c:v>
                </c:pt>
              </c:numCache>
            </c:numRef>
          </c:val>
          <c:extLst>
            <c:ext xmlns:c16="http://schemas.microsoft.com/office/drawing/2014/chart" uri="{C3380CC4-5D6E-409C-BE32-E72D297353CC}">
              <c16:uniqueId val="{00000002-DDD5-4080-83AA-8B0E7CC75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991401936826863"/>
          <c:y val="0.47151741625517146"/>
          <c:w val="0.33738334432333938"/>
          <c:h val="0.1615577205391707"/>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8235113993103821"/>
          <c:y val="3.8777083898995389E-2"/>
        </c:manualLayout>
      </c:layout>
      <c:overlay val="0"/>
      <c:spPr>
        <a:noFill/>
        <a:ln w="25400">
          <a:noFill/>
        </a:ln>
      </c:spPr>
    </c:title>
    <c:autoTitleDeleted val="0"/>
    <c:plotArea>
      <c:layout>
        <c:manualLayout>
          <c:layoutTarget val="inner"/>
          <c:xMode val="edge"/>
          <c:yMode val="edge"/>
          <c:x val="0.13563054512357117"/>
          <c:y val="0.2628030649445704"/>
          <c:w val="0.45463760926250885"/>
          <c:h val="0.63234743261533544"/>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DAEA-4F52-8D21-00B25E3C75F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AEA-4F52-8D21-00B25E3C75F6}"/>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kustannukset'!$B$39:$B$40</c:f>
              <c:strCache>
                <c:ptCount val="2"/>
                <c:pt idx="0">
                  <c:v>Kalastus</c:v>
                </c:pt>
                <c:pt idx="1">
                  <c:v>Kalan käsittely ja kuljetus</c:v>
                </c:pt>
              </c:strCache>
            </c:strRef>
          </c:cat>
          <c:val>
            <c:numRef>
              <c:f>'6 Muuttuvat kustannukset'!$D$39:$D$40</c:f>
              <c:numCache>
                <c:formatCode>#,##0</c:formatCode>
                <c:ptCount val="2"/>
                <c:pt idx="0">
                  <c:v>0</c:v>
                </c:pt>
                <c:pt idx="1">
                  <c:v>0</c:v>
                </c:pt>
              </c:numCache>
            </c:numRef>
          </c:val>
          <c:extLst>
            <c:ext xmlns:c16="http://schemas.microsoft.com/office/drawing/2014/chart" uri="{C3380CC4-5D6E-409C-BE32-E72D297353CC}">
              <c16:uniqueId val="{00000002-DAEA-4F52-8D21-00B25E3C75F6}"/>
            </c:ext>
          </c:extLst>
        </c:ser>
        <c:dLbls>
          <c:showLegendKey val="0"/>
          <c:showVal val="0"/>
          <c:showCatName val="0"/>
          <c:showSerName val="0"/>
          <c:showPercent val="0"/>
          <c:showBubbleSize val="0"/>
          <c:showLeaderLines val="1"/>
        </c:dLbls>
        <c:firstSliceAng val="0"/>
      </c:pieChart>
      <c:spPr>
        <a:noFill/>
        <a:ln w="25400">
          <a:noFill/>
        </a:ln>
      </c:spPr>
    </c:plotArea>
    <c:legend>
      <c:legendPos val="r"/>
      <c:legendEntry>
        <c:idx val="1"/>
        <c:txPr>
          <a:bodyPr/>
          <a:lstStyle/>
          <a:p>
            <a:pPr>
              <a:defRPr sz="1100" b="0" i="0" u="none" strike="noStrike" baseline="0">
                <a:solidFill>
                  <a:srgbClr val="000000"/>
                </a:solidFill>
                <a:latin typeface="Arial"/>
                <a:ea typeface="Arial"/>
                <a:cs typeface="Arial"/>
              </a:defRPr>
            </a:pPr>
            <a:endParaRPr lang="fi-FI"/>
          </a:p>
        </c:txPr>
      </c:legendEntry>
      <c:layout>
        <c:manualLayout>
          <c:xMode val="edge"/>
          <c:yMode val="edge"/>
          <c:x val="0.6307884308579077"/>
          <c:y val="0.39309910399131148"/>
          <c:w val="0.32918326385673108"/>
          <c:h val="0.28696062992126814"/>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11702706653193776"/>
          <c:y val="2.5853877356240215E-2"/>
        </c:manualLayout>
      </c:layout>
      <c:overlay val="0"/>
      <c:spPr>
        <a:noFill/>
        <a:ln w="25400">
          <a:noFill/>
        </a:ln>
      </c:spPr>
    </c:title>
    <c:autoTitleDeleted val="0"/>
    <c:plotArea>
      <c:layout>
        <c:manualLayout>
          <c:layoutTarget val="inner"/>
          <c:xMode val="edge"/>
          <c:yMode val="edge"/>
          <c:x val="9.6883114068186699E-2"/>
          <c:y val="0.23474185799538641"/>
          <c:w val="0.48546292892750686"/>
          <c:h val="0.63854269726816848"/>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ABDD-4387-BD63-C3FF5077C78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ABDD-4387-BD63-C3FF5077C78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ABDD-4387-BD63-C3FF5077C78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ABDD-4387-BD63-C3FF5077C78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ABDD-4387-BD63-C3FF5077C789}"/>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kustannukset'!$B$7:$B$12</c:f>
              <c:strCache>
                <c:ptCount val="6"/>
                <c:pt idx="0">
                  <c:v>Pyydysten viritys</c:v>
                </c:pt>
                <c:pt idx="1">
                  <c:v>Kalastusmatkat  </c:v>
                </c:pt>
                <c:pt idx="2">
                  <c:v>Lajittelu/pakkaus</c:v>
                </c:pt>
                <c:pt idx="3">
                  <c:v>Perkaus/fileointi/mädin talteenotto</c:v>
                </c:pt>
                <c:pt idx="4">
                  <c:v>Kalan kuljetukset</c:v>
                </c:pt>
                <c:pt idx="5">
                  <c:v>Pyydysten poisto</c:v>
                </c:pt>
              </c:strCache>
            </c:strRef>
          </c:cat>
          <c:val>
            <c:numRef>
              <c:f>'6 Muuttuvat kustannukset'!$P$7:$P$12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ABDD-4387-BD63-C3FF5077C78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9655297325120871"/>
          <c:y val="0.24102696253877356"/>
          <c:w val="0.32052468017770369"/>
          <c:h val="0.66735652588880934"/>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1304145949815242"/>
          <c:y val="4.6156863843976804E-2"/>
        </c:manualLayout>
      </c:layout>
      <c:overlay val="0"/>
      <c:spPr>
        <a:noFill/>
        <a:ln w="25400">
          <a:noFill/>
        </a:ln>
      </c:spPr>
    </c:title>
    <c:autoTitleDeleted val="0"/>
    <c:plotArea>
      <c:layout>
        <c:manualLayout>
          <c:layoutTarget val="inner"/>
          <c:xMode val="edge"/>
          <c:yMode val="edge"/>
          <c:x val="9.0142392978665248E-2"/>
          <c:y val="0.21176424041731551"/>
          <c:w val="0.48353537730869794"/>
          <c:h val="0.68159846504147192"/>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4C43-4388-B4FF-F4320A80F63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4C43-4388-B4FF-F4320A80F63A}"/>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kustannukset'!$H$32:$H$34</c:f>
              <c:numCache>
                <c:formatCode>#,##0</c:formatCode>
                <c:ptCount val="3"/>
                <c:pt idx="0">
                  <c:v>0</c:v>
                </c:pt>
                <c:pt idx="1">
                  <c:v>0</c:v>
                </c:pt>
                <c:pt idx="2">
                  <c:v>0</c:v>
                </c:pt>
              </c:numCache>
            </c:numRef>
          </c:val>
          <c:extLst>
            <c:ext xmlns:c16="http://schemas.microsoft.com/office/drawing/2014/chart" uri="{C3380CC4-5D6E-409C-BE32-E72D297353CC}">
              <c16:uniqueId val="{00000002-4C43-4388-B4FF-F4320A80F63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76577866341856"/>
          <c:y val="0.36435490047730446"/>
          <c:w val="0.32640677900521675"/>
          <c:h val="0.41329485059919224"/>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2401462931887567"/>
          <c:y val="3.5989655704801608E-2"/>
        </c:manualLayout>
      </c:layout>
      <c:overlay val="0"/>
      <c:spPr>
        <a:noFill/>
        <a:ln w="25400">
          <a:noFill/>
        </a:ln>
      </c:spPr>
    </c:title>
    <c:autoTitleDeleted val="0"/>
    <c:plotArea>
      <c:layout>
        <c:manualLayout>
          <c:layoutTarget val="inner"/>
          <c:xMode val="edge"/>
          <c:yMode val="edge"/>
          <c:x val="0.17114551037527845"/>
          <c:y val="0.1577442432308323"/>
          <c:w val="0.58960676664490652"/>
          <c:h val="0.66580976863754915"/>
        </c:manualLayout>
      </c:layout>
      <c:barChart>
        <c:barDir val="col"/>
        <c:grouping val="clustered"/>
        <c:varyColors val="0"/>
        <c:ser>
          <c:idx val="0"/>
          <c:order val="0"/>
          <c:tx>
            <c:strRef>
              <c:f>'3 Saalis'!$T$119</c:f>
              <c:strCache>
                <c:ptCount val="1"/>
                <c:pt idx="0">
                  <c:v>Silakka</c:v>
                </c:pt>
              </c:strCache>
            </c:strRef>
          </c:tx>
          <c:spPr>
            <a:solidFill>
              <a:srgbClr val="9999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Saalis'!$W$119:$AH$119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A5-49AC-8127-7FC7F03AF7AF}"/>
            </c:ext>
          </c:extLst>
        </c:ser>
        <c:dLbls>
          <c:showLegendKey val="0"/>
          <c:showVal val="0"/>
          <c:showCatName val="0"/>
          <c:showSerName val="0"/>
          <c:showPercent val="0"/>
          <c:showBubbleSize val="0"/>
        </c:dLbls>
        <c:gapWidth val="50"/>
        <c:axId val="95382144"/>
        <c:axId val="115335936"/>
      </c:barChart>
      <c:catAx>
        <c:axId val="9538214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200765887870578"/>
              <c:y val="0.8997429365447111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335936"/>
        <c:crosses val="autoZero"/>
        <c:auto val="1"/>
        <c:lblAlgn val="ctr"/>
        <c:lblOffset val="100"/>
        <c:tickLblSkip val="1"/>
        <c:tickMarkSkip val="1"/>
        <c:noMultiLvlLbl val="0"/>
      </c:catAx>
      <c:valAx>
        <c:axId val="115335936"/>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8.2664257131793047E-3"/>
              <c:y val="0.41131104935412488"/>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95382144"/>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8301071382470633"/>
          <c:y val="0.49614430549122535"/>
          <c:w val="0.18770465986834206"/>
          <c:h val="5.6555246770628065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7696089944747731"/>
          <c:y val="2.9158379424025892E-2"/>
        </c:manualLayout>
      </c:layout>
      <c:overlay val="0"/>
      <c:spPr>
        <a:noFill/>
        <a:ln w="25400">
          <a:noFill/>
        </a:ln>
      </c:spPr>
    </c:title>
    <c:autoTitleDeleted val="0"/>
    <c:plotArea>
      <c:layout>
        <c:manualLayout>
          <c:layoutTarget val="inner"/>
          <c:xMode val="edge"/>
          <c:yMode val="edge"/>
          <c:x val="0.12340920829680357"/>
          <c:y val="0.21043574551885041"/>
          <c:w val="0.46579002118812929"/>
          <c:h val="0.69017912329431064"/>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4C52-4F46-8606-2BDED56EB54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4C52-4F46-8606-2BDED56EB54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4C52-4F46-8606-2BDED56EB548}"/>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kustannukset'!$B$38:$B$41</c:f>
              <c:strCache>
                <c:ptCount val="4"/>
                <c:pt idx="0">
                  <c:v>Pyydysten viritys</c:v>
                </c:pt>
                <c:pt idx="1">
                  <c:v>Kalastus</c:v>
                </c:pt>
                <c:pt idx="2">
                  <c:v>Kalan käsittely ja kuljetus</c:v>
                </c:pt>
                <c:pt idx="3">
                  <c:v>Pyydysten poisto</c:v>
                </c:pt>
              </c:strCache>
            </c:strRef>
          </c:cat>
          <c:val>
            <c:numRef>
              <c:f>'6 Muuttuvat kustannukset'!$H$38:$H$41</c:f>
              <c:numCache>
                <c:formatCode>#,##0</c:formatCode>
                <c:ptCount val="4"/>
                <c:pt idx="0">
                  <c:v>0</c:v>
                </c:pt>
                <c:pt idx="1">
                  <c:v>0</c:v>
                </c:pt>
                <c:pt idx="2">
                  <c:v>0</c:v>
                </c:pt>
                <c:pt idx="3">
                  <c:v>0</c:v>
                </c:pt>
              </c:numCache>
            </c:numRef>
          </c:val>
          <c:extLst>
            <c:ext xmlns:c16="http://schemas.microsoft.com/office/drawing/2014/chart" uri="{C3380CC4-5D6E-409C-BE32-E72D297353CC}">
              <c16:uniqueId val="{00000003-4C52-4F46-8606-2BDED56EB54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396550064493772"/>
          <c:y val="0.23849857868112828"/>
          <c:w val="0.31368230560423105"/>
          <c:h val="0.55265709433381061"/>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16609129741135614"/>
          <c:y val="2.8108510657621086E-2"/>
        </c:manualLayout>
      </c:layout>
      <c:overlay val="0"/>
      <c:spPr>
        <a:noFill/>
        <a:ln w="25400">
          <a:noFill/>
        </a:ln>
      </c:spPr>
    </c:title>
    <c:autoTitleDeleted val="0"/>
    <c:plotArea>
      <c:layout>
        <c:manualLayout>
          <c:layoutTarget val="inner"/>
          <c:xMode val="edge"/>
          <c:yMode val="edge"/>
          <c:x val="0.12880661329221513"/>
          <c:y val="0.20862200141163961"/>
          <c:w val="0.48083933629458381"/>
          <c:h val="0.67963627363812618"/>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428B-483C-9908-B20DA59A54C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428B-483C-9908-B20DA59A54C8}"/>
              </c:ext>
            </c:extLst>
          </c:dPt>
          <c:dPt>
            <c:idx val="3"/>
            <c:bubble3D val="0"/>
            <c:spPr>
              <a:solidFill>
                <a:schemeClr val="accent6"/>
              </a:solidFill>
              <a:ln w="12700">
                <a:solidFill>
                  <a:srgbClr val="000000"/>
                </a:solidFill>
                <a:prstDash val="solid"/>
              </a:ln>
            </c:spPr>
            <c:extLst>
              <c:ext xmlns:c16="http://schemas.microsoft.com/office/drawing/2014/chart" uri="{C3380CC4-5D6E-409C-BE32-E72D297353CC}">
                <c16:uniqueId val="{00000002-428B-483C-9908-B20DA59A54C8}"/>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kustannukset'!$B$14,'6 Muuttuvat kustannukset'!$B$17,'6 Muuttuvat kustannukset'!$B$21,'6 Muuttuvat kustannukset'!$B$23)</c:f>
              <c:strCache>
                <c:ptCount val="4"/>
                <c:pt idx="0">
                  <c:v>Pyydysten viritys</c:v>
                </c:pt>
                <c:pt idx="1">
                  <c:v>Kalastusmatkat  </c:v>
                </c:pt>
                <c:pt idx="2">
                  <c:v>Kalan kuljetukset</c:v>
                </c:pt>
                <c:pt idx="3">
                  <c:v>Pyydysten poisto</c:v>
                </c:pt>
              </c:strCache>
            </c:strRef>
          </c:cat>
          <c:val>
            <c:numRef>
              <c:f>('6 Muuttuvat kustannukset'!$P$14,'6 Muuttuvat kustannukset'!$P$17,'6 Muuttuvat kustannukset'!$P$21,'6 Muuttuvat kustannukset'!$P$23)</c:f>
              <c:numCache>
                <c:formatCode>#,##0</c:formatCode>
                <c:ptCount val="4"/>
                <c:pt idx="0">
                  <c:v>0</c:v>
                </c:pt>
                <c:pt idx="1">
                  <c:v>0</c:v>
                </c:pt>
                <c:pt idx="2">
                  <c:v>0</c:v>
                </c:pt>
                <c:pt idx="3">
                  <c:v>0</c:v>
                </c:pt>
              </c:numCache>
            </c:numRef>
          </c:val>
          <c:extLst>
            <c:ext xmlns:c16="http://schemas.microsoft.com/office/drawing/2014/chart" uri="{C3380CC4-5D6E-409C-BE32-E72D297353CC}">
              <c16:uniqueId val="{00000003-428B-483C-9908-B20DA59A54C8}"/>
            </c:ext>
          </c:extLst>
        </c:ser>
        <c:dLbls>
          <c:showLegendKey val="0"/>
          <c:showVal val="0"/>
          <c:showCatName val="0"/>
          <c:showSerName val="0"/>
          <c:showPercent val="0"/>
          <c:showBubbleSize val="0"/>
          <c:showLeaderLines val="1"/>
        </c:dLbls>
        <c:firstSliceAng val="0"/>
      </c:pieChart>
      <c:spPr>
        <a:noFill/>
        <a:ln w="25400">
          <a:noFill/>
        </a:ln>
      </c:spPr>
    </c:plotArea>
    <c:legend>
      <c:legendPos val="r"/>
      <c:legendEntry>
        <c:idx val="1"/>
        <c:txPr>
          <a:bodyPr/>
          <a:lstStyle/>
          <a:p>
            <a:pPr>
              <a:defRPr sz="1100" b="0" i="0" u="none" strike="noStrike" baseline="0">
                <a:solidFill>
                  <a:srgbClr val="000000"/>
                </a:solidFill>
                <a:latin typeface="Arial"/>
                <a:ea typeface="Arial"/>
                <a:cs typeface="Arial"/>
              </a:defRPr>
            </a:pPr>
            <a:endParaRPr lang="fi-FI"/>
          </a:p>
        </c:txPr>
      </c:legendEntry>
      <c:layout>
        <c:manualLayout>
          <c:xMode val="edge"/>
          <c:yMode val="edge"/>
          <c:x val="0.65083474859760171"/>
          <c:y val="0.36169468435822688"/>
          <c:w val="0.34587077350626388"/>
          <c:h val="0.35020824819043012"/>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11702695057854798"/>
          <c:y val="2.5853976282162509E-2"/>
        </c:manualLayout>
      </c:layout>
      <c:overlay val="0"/>
      <c:spPr>
        <a:noFill/>
        <a:ln w="25400">
          <a:noFill/>
        </a:ln>
      </c:spPr>
    </c:title>
    <c:autoTitleDeleted val="0"/>
    <c:plotArea>
      <c:layout>
        <c:manualLayout>
          <c:layoutTarget val="inner"/>
          <c:xMode val="edge"/>
          <c:yMode val="edge"/>
          <c:x val="8.3165134482326028E-2"/>
          <c:y val="0.22986245239937494"/>
          <c:w val="0.48546292892750698"/>
          <c:h val="0.6385426972681688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033A-43C9-AF70-BC4EE973405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033A-43C9-AF70-BC4EE973405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033A-43C9-AF70-BC4EE973405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033A-43C9-AF70-BC4EE973405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033A-43C9-AF70-BC4EE9734058}"/>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kustannukset'!$B$7:$B$12</c:f>
              <c:strCache>
                <c:ptCount val="6"/>
                <c:pt idx="0">
                  <c:v>Pyydysten viritys</c:v>
                </c:pt>
                <c:pt idx="1">
                  <c:v>Kalastusmatkat  </c:v>
                </c:pt>
                <c:pt idx="2">
                  <c:v>Lajittelu/pakkaus</c:v>
                </c:pt>
                <c:pt idx="3">
                  <c:v>Perkaus/fileointi/mädin talteenotto</c:v>
                </c:pt>
                <c:pt idx="4">
                  <c:v>Kalan kuljetukset</c:v>
                </c:pt>
                <c:pt idx="5">
                  <c:v>Pyydysten poisto</c:v>
                </c:pt>
              </c:strCache>
            </c:strRef>
          </c:cat>
          <c:val>
            <c:numRef>
              <c:f>'6 Muuttuvat kustannukset'!$S$7:$S$12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033A-43C9-AF70-BC4EE973405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9655306244614159"/>
          <c:y val="0.24102687893940264"/>
          <c:w val="0.33686552338853143"/>
          <c:h val="0.66735636147671251"/>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1304146981627296"/>
          <c:y val="4.6156863843976804E-2"/>
        </c:manualLayout>
      </c:layout>
      <c:overlay val="0"/>
      <c:spPr>
        <a:noFill/>
        <a:ln w="25400">
          <a:noFill/>
        </a:ln>
      </c:spPr>
    </c:title>
    <c:autoTitleDeleted val="0"/>
    <c:plotArea>
      <c:layout>
        <c:manualLayout>
          <c:layoutTarget val="inner"/>
          <c:xMode val="edge"/>
          <c:yMode val="edge"/>
          <c:x val="9.0142392978665248E-2"/>
          <c:y val="0.23581289606923594"/>
          <c:w val="0.45887941982178682"/>
          <c:h val="0.65754963398688937"/>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6318-4566-8F18-9CB5648FDE6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6318-4566-8F18-9CB5648FDE61}"/>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kustannukset'!$I$32:$I$34</c:f>
              <c:numCache>
                <c:formatCode>#,##0</c:formatCode>
                <c:ptCount val="3"/>
                <c:pt idx="0">
                  <c:v>0</c:v>
                </c:pt>
                <c:pt idx="1">
                  <c:v>0</c:v>
                </c:pt>
                <c:pt idx="2">
                  <c:v>0</c:v>
                </c:pt>
              </c:numCache>
            </c:numRef>
          </c:val>
          <c:extLst>
            <c:ext xmlns:c16="http://schemas.microsoft.com/office/drawing/2014/chart" uri="{C3380CC4-5D6E-409C-BE32-E72D297353CC}">
              <c16:uniqueId val="{00000002-6318-4566-8F18-9CB5648FDE6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0079002624673505"/>
          <c:y val="0.35473683227319003"/>
          <c:w val="0.33304593175852931"/>
          <c:h val="0.41329485059919174"/>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7696075795403624"/>
          <c:y val="2.9158379424025892E-2"/>
        </c:manualLayout>
      </c:layout>
      <c:overlay val="0"/>
      <c:spPr>
        <a:noFill/>
        <a:ln w="25400">
          <a:noFill/>
        </a:ln>
      </c:spPr>
    </c:title>
    <c:autoTitleDeleted val="0"/>
    <c:plotArea>
      <c:layout>
        <c:manualLayout>
          <c:layoutTarget val="inner"/>
          <c:xMode val="edge"/>
          <c:yMode val="edge"/>
          <c:x val="0.12340920829680357"/>
          <c:y val="0.22496128416848926"/>
          <c:w val="0.45598021164803132"/>
          <c:h val="0.6751850391809556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DC84-49C9-A1BC-5EE055290C3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DC84-49C9-A1BC-5EE055290C3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DC84-49C9-A1BC-5EE055290C31}"/>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kustannukset'!$B$38:$B$41</c:f>
              <c:strCache>
                <c:ptCount val="4"/>
                <c:pt idx="0">
                  <c:v>Pyydysten viritys</c:v>
                </c:pt>
                <c:pt idx="1">
                  <c:v>Kalastus</c:v>
                </c:pt>
                <c:pt idx="2">
                  <c:v>Kalan käsittely ja kuljetus</c:v>
                </c:pt>
                <c:pt idx="3">
                  <c:v>Pyydysten poisto</c:v>
                </c:pt>
              </c:strCache>
            </c:strRef>
          </c:cat>
          <c:val>
            <c:numRef>
              <c:f>'6 Muuttuvat kustannukset'!$I$38:$I$41</c:f>
              <c:numCache>
                <c:formatCode>#,##0</c:formatCode>
                <c:ptCount val="4"/>
                <c:pt idx="0">
                  <c:v>0</c:v>
                </c:pt>
                <c:pt idx="1">
                  <c:v>0</c:v>
                </c:pt>
                <c:pt idx="2">
                  <c:v>0</c:v>
                </c:pt>
                <c:pt idx="3">
                  <c:v>0</c:v>
                </c:pt>
              </c:numCache>
            </c:numRef>
          </c:val>
          <c:extLst>
            <c:ext xmlns:c16="http://schemas.microsoft.com/office/drawing/2014/chart" uri="{C3380CC4-5D6E-409C-BE32-E72D297353CC}">
              <c16:uniqueId val="{00000003-DC84-49C9-A1BC-5EE055290C3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5674028551311592"/>
          <c:y val="0.23849857868112828"/>
          <c:w val="0.3136823506817738"/>
          <c:h val="0.55265709433381061"/>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15956229351928547"/>
          <c:y val="3.7252663004753411E-2"/>
        </c:manualLayout>
      </c:layout>
      <c:overlay val="0"/>
      <c:spPr>
        <a:noFill/>
        <a:ln w="25400">
          <a:noFill/>
        </a:ln>
      </c:spPr>
    </c:title>
    <c:autoTitleDeleted val="0"/>
    <c:plotArea>
      <c:layout>
        <c:manualLayout>
          <c:layoutTarget val="inner"/>
          <c:xMode val="edge"/>
          <c:yMode val="edge"/>
          <c:x val="0.11214656581477735"/>
          <c:y val="0.21377810483951964"/>
          <c:w val="0.47750745763512276"/>
          <c:h val="0.66468627941502889"/>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B66E-41AC-90A5-152BF62D520F}"/>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B66E-41AC-90A5-152BF62D520F}"/>
              </c:ext>
            </c:extLst>
          </c:dPt>
          <c:dPt>
            <c:idx val="3"/>
            <c:bubble3D val="0"/>
            <c:spPr>
              <a:solidFill>
                <a:schemeClr val="accent6"/>
              </a:solidFill>
              <a:ln w="12700">
                <a:solidFill>
                  <a:srgbClr val="000000"/>
                </a:solidFill>
                <a:prstDash val="solid"/>
              </a:ln>
            </c:spPr>
            <c:extLst>
              <c:ext xmlns:c16="http://schemas.microsoft.com/office/drawing/2014/chart" uri="{C3380CC4-5D6E-409C-BE32-E72D297353CC}">
                <c16:uniqueId val="{00000002-B66E-41AC-90A5-152BF62D520F}"/>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kustannukset'!$B$14,'6 Muuttuvat kustannukset'!$B$17,'6 Muuttuvat kustannukset'!$B$21,'6 Muuttuvat kustannukset'!$B$23)</c:f>
              <c:strCache>
                <c:ptCount val="4"/>
                <c:pt idx="0">
                  <c:v>Pyydysten viritys</c:v>
                </c:pt>
                <c:pt idx="1">
                  <c:v>Kalastusmatkat  </c:v>
                </c:pt>
                <c:pt idx="2">
                  <c:v>Kalan kuljetukset</c:v>
                </c:pt>
                <c:pt idx="3">
                  <c:v>Pyydysten poisto</c:v>
                </c:pt>
              </c:strCache>
            </c:strRef>
          </c:cat>
          <c:val>
            <c:numRef>
              <c:f>('6 Muuttuvat kustannukset'!$S$14,'6 Muuttuvat kustannukset'!$S$17,'6 Muuttuvat kustannukset'!$S$21,'6 Muuttuvat kustannukset'!$S$23)</c:f>
              <c:numCache>
                <c:formatCode>#,##0</c:formatCode>
                <c:ptCount val="4"/>
                <c:pt idx="0">
                  <c:v>0</c:v>
                </c:pt>
                <c:pt idx="1">
                  <c:v>0</c:v>
                </c:pt>
                <c:pt idx="2">
                  <c:v>0</c:v>
                </c:pt>
                <c:pt idx="3">
                  <c:v>0</c:v>
                </c:pt>
              </c:numCache>
            </c:numRef>
          </c:val>
          <c:extLst>
            <c:ext xmlns:c16="http://schemas.microsoft.com/office/drawing/2014/chart" uri="{C3380CC4-5D6E-409C-BE32-E72D297353CC}">
              <c16:uniqueId val="{00000003-B66E-41AC-90A5-152BF62D520F}"/>
            </c:ext>
          </c:extLst>
        </c:ser>
        <c:dLbls>
          <c:showLegendKey val="0"/>
          <c:showVal val="0"/>
          <c:showCatName val="0"/>
          <c:showSerName val="0"/>
          <c:showPercent val="0"/>
          <c:showBubbleSize val="0"/>
          <c:showLeaderLines val="1"/>
        </c:dLbls>
        <c:firstSliceAng val="0"/>
      </c:pieChart>
      <c:spPr>
        <a:noFill/>
        <a:ln w="25400">
          <a:noFill/>
        </a:ln>
      </c:spPr>
    </c:plotArea>
    <c:legend>
      <c:legendPos val="r"/>
      <c:legendEntry>
        <c:idx val="1"/>
        <c:txPr>
          <a:bodyPr/>
          <a:lstStyle/>
          <a:p>
            <a:pPr>
              <a:defRPr sz="1100" b="0" i="0" u="none" strike="noStrike" baseline="0">
                <a:solidFill>
                  <a:srgbClr val="000000"/>
                </a:solidFill>
                <a:latin typeface="Arial"/>
                <a:ea typeface="Arial"/>
                <a:cs typeface="Arial"/>
              </a:defRPr>
            </a:pPr>
            <a:endParaRPr lang="fi-FI"/>
          </a:p>
        </c:txPr>
      </c:legendEntry>
      <c:layout>
        <c:manualLayout>
          <c:xMode val="edge"/>
          <c:yMode val="edge"/>
          <c:x val="0.65083480236614533"/>
          <c:y val="0.36169458199169147"/>
          <c:w val="0.3458709079275667"/>
          <c:h val="0.35020844043979077"/>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16965800721293878"/>
          <c:y val="5.3295156287282265E-3"/>
        </c:manualLayout>
      </c:layout>
      <c:overlay val="0"/>
    </c:title>
    <c:autoTitleDeleted val="0"/>
    <c:plotArea>
      <c:layout>
        <c:manualLayout>
          <c:layoutTarget val="inner"/>
          <c:xMode val="edge"/>
          <c:yMode val="edge"/>
          <c:x val="7.9657506867833933E-2"/>
          <c:y val="0.20617388383988092"/>
          <c:w val="0.46164247932571306"/>
          <c:h val="0.66529466805587856"/>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6BB4-46B7-9B06-030B0FD2C16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6BB4-46B7-9B06-030B0FD2C16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6BB4-46B7-9B06-030B0FD2C16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6BB4-46B7-9B06-030B0FD2C16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6BB4-46B7-9B06-030B0FD2C166}"/>
              </c:ext>
            </c:extLst>
          </c:dPt>
          <c:dLbls>
            <c:dLbl>
              <c:idx val="2"/>
              <c:layout>
                <c:manualLayout>
                  <c:x val="1.6606911920162302E-2"/>
                  <c:y val="-0.1015457585528432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BB4-46B7-9B06-030B0FD2C166}"/>
                </c:ext>
              </c:extLst>
            </c:dLbl>
            <c:spPr>
              <a:noFill/>
              <a:ln>
                <a:noFill/>
              </a:ln>
              <a:effectLst/>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kustannukset'!$B$7:$B$12</c:f>
              <c:strCache>
                <c:ptCount val="6"/>
                <c:pt idx="0">
                  <c:v>Pyydysten viritys</c:v>
                </c:pt>
                <c:pt idx="1">
                  <c:v>Kalastusmatkat  </c:v>
                </c:pt>
                <c:pt idx="2">
                  <c:v>Lajittelu/pakkaus</c:v>
                </c:pt>
                <c:pt idx="3">
                  <c:v>Perkaus/fileointi/mädin talteenotto</c:v>
                </c:pt>
                <c:pt idx="4">
                  <c:v>Kalan kuljetukset</c:v>
                </c:pt>
                <c:pt idx="5">
                  <c:v>Pyydysten poisto</c:v>
                </c:pt>
              </c:strCache>
            </c:strRef>
          </c:cat>
          <c:val>
            <c:numRef>
              <c:f>'6 Muuttuvat kustannukset'!$M$7:$M$12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6BB4-46B7-9B06-030B0FD2C166}"/>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768433247590002"/>
          <c:y val="0.18866638033882577"/>
          <c:w val="0.33106498844752341"/>
          <c:h val="0.67655070388928662"/>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1150"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5155137315152944"/>
          <c:y val="3.8572983255141878E-2"/>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E92E-4CFC-B2B5-E827CF6CECE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E92E-4CFC-B2B5-E827CF6CECE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kustannukset'!$G$32:$G$34</c:f>
              <c:numCache>
                <c:formatCode>#,##0</c:formatCode>
                <c:ptCount val="3"/>
                <c:pt idx="0">
                  <c:v>0</c:v>
                </c:pt>
                <c:pt idx="1">
                  <c:v>0</c:v>
                </c:pt>
                <c:pt idx="2">
                  <c:v>0</c:v>
                </c:pt>
              </c:numCache>
            </c:numRef>
          </c:val>
          <c:extLst>
            <c:ext xmlns:c16="http://schemas.microsoft.com/office/drawing/2014/chart" uri="{C3380CC4-5D6E-409C-BE32-E72D297353CC}">
              <c16:uniqueId val="{00000002-E92E-4CFC-B2B5-E827CF6CECE3}"/>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681620894949164"/>
          <c:y val="0.33012592938078955"/>
          <c:w val="0.32694065680814188"/>
          <c:h val="0.44325861706311159"/>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1478890322083821"/>
          <c:y val="3.9060971037156944E-2"/>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F94E-42E8-AD72-29CE194BD3C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F94E-42E8-AD72-29CE194BD3C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F94E-42E8-AD72-29CE194BD3CA}"/>
              </c:ext>
            </c:extLst>
          </c:dPt>
          <c:dLbls>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kustannukset'!$B$38:$B$41</c:f>
              <c:strCache>
                <c:ptCount val="4"/>
                <c:pt idx="0">
                  <c:v>Pyydysten viritys</c:v>
                </c:pt>
                <c:pt idx="1">
                  <c:v>Kalastus</c:v>
                </c:pt>
                <c:pt idx="2">
                  <c:v>Kalan käsittely ja kuljetus</c:v>
                </c:pt>
                <c:pt idx="3">
                  <c:v>Pyydysten poisto</c:v>
                </c:pt>
              </c:strCache>
            </c:strRef>
          </c:cat>
          <c:val>
            <c:numRef>
              <c:f>'6 Muuttuvat kustannukset'!$G$38:$G$41</c:f>
              <c:numCache>
                <c:formatCode>#,##0</c:formatCode>
                <c:ptCount val="4"/>
                <c:pt idx="0">
                  <c:v>0</c:v>
                </c:pt>
                <c:pt idx="1">
                  <c:v>0</c:v>
                </c:pt>
                <c:pt idx="2">
                  <c:v>0</c:v>
                </c:pt>
                <c:pt idx="3">
                  <c:v>0</c:v>
                </c:pt>
              </c:numCache>
            </c:numRef>
          </c:val>
          <c:extLst>
            <c:ext xmlns:c16="http://schemas.microsoft.com/office/drawing/2014/chart" uri="{C3380CC4-5D6E-409C-BE32-E72D297353CC}">
              <c16:uniqueId val="{00000003-F94E-42E8-AD72-29CE194BD3C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52146904619865"/>
          <c:y val="0.26883224962733315"/>
          <c:w val="0.3298148611619291"/>
          <c:h val="0.5591985148197966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19299147308079359"/>
          <c:y val="2.8037114089835852E-2"/>
        </c:manualLayout>
      </c:layout>
      <c:overlay val="0"/>
    </c:title>
    <c:autoTitleDeleted val="0"/>
    <c:plotArea>
      <c:layout>
        <c:manualLayout>
          <c:layoutTarget val="inner"/>
          <c:xMode val="edge"/>
          <c:yMode val="edge"/>
          <c:x val="8.0419652890137819E-2"/>
          <c:y val="0.22287210148400932"/>
          <c:w val="0.47855231926489722"/>
          <c:h val="0.6699646692429213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E9AA-44A5-A27A-732083A981C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E9AA-44A5-A27A-732083A981CB}"/>
              </c:ext>
            </c:extLst>
          </c:dPt>
          <c:dPt>
            <c:idx val="3"/>
            <c:bubble3D val="0"/>
            <c:spPr>
              <a:solidFill>
                <a:schemeClr val="accent6"/>
              </a:solidFill>
              <a:ln w="12700">
                <a:solidFill>
                  <a:srgbClr val="000000"/>
                </a:solidFill>
                <a:prstDash val="solid"/>
              </a:ln>
            </c:spPr>
            <c:extLst>
              <c:ext xmlns:c16="http://schemas.microsoft.com/office/drawing/2014/chart" uri="{C3380CC4-5D6E-409C-BE32-E72D297353CC}">
                <c16:uniqueId val="{00000002-E9AA-44A5-A27A-732083A981CB}"/>
              </c:ext>
            </c:extLst>
          </c:dPt>
          <c:dLbls>
            <c:spPr>
              <a:noFill/>
              <a:ln>
                <a:noFill/>
              </a:ln>
              <a:effectLst/>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kustannukset'!$B$14,'6 Muuttuvat kustannukset'!$B$17,'6 Muuttuvat kustannukset'!$B$21,'6 Muuttuvat kustannukset'!$B$23)</c:f>
              <c:strCache>
                <c:ptCount val="4"/>
                <c:pt idx="0">
                  <c:v>Pyydysten viritys</c:v>
                </c:pt>
                <c:pt idx="1">
                  <c:v>Kalastusmatkat  </c:v>
                </c:pt>
                <c:pt idx="2">
                  <c:v>Kalan kuljetukset</c:v>
                </c:pt>
                <c:pt idx="3">
                  <c:v>Pyydysten poisto</c:v>
                </c:pt>
              </c:strCache>
            </c:strRef>
          </c:cat>
          <c:val>
            <c:numRef>
              <c:f>('6 Muuttuvat kustannukset'!$M$14,'6 Muuttuvat kustannukset'!$M$17,'6 Muuttuvat kustannukset'!$M$21,'6 Muuttuvat kustannukset'!$M$23)</c:f>
              <c:numCache>
                <c:formatCode>#,##0</c:formatCode>
                <c:ptCount val="4"/>
                <c:pt idx="0">
                  <c:v>0</c:v>
                </c:pt>
                <c:pt idx="1">
                  <c:v>0</c:v>
                </c:pt>
                <c:pt idx="2">
                  <c:v>0</c:v>
                </c:pt>
                <c:pt idx="3">
                  <c:v>0</c:v>
                </c:pt>
              </c:numCache>
            </c:numRef>
          </c:val>
          <c:extLst>
            <c:ext xmlns:c16="http://schemas.microsoft.com/office/drawing/2014/chart" uri="{C3380CC4-5D6E-409C-BE32-E72D297353CC}">
              <c16:uniqueId val="{00000003-E9AA-44A5-A27A-732083A981C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542105744244665"/>
          <c:y val="0.35749506228109451"/>
          <c:w val="0.39292905550986368"/>
          <c:h val="0.37228065555350831"/>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475"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19429628673464999"/>
          <c:y val="3.0769250858568048E-2"/>
        </c:manualLayout>
      </c:layout>
      <c:overlay val="0"/>
      <c:spPr>
        <a:noFill/>
        <a:ln w="25400">
          <a:noFill/>
        </a:ln>
      </c:spPr>
    </c:title>
    <c:autoTitleDeleted val="0"/>
    <c:plotArea>
      <c:layout>
        <c:manualLayout>
          <c:layoutTarget val="inner"/>
          <c:xMode val="edge"/>
          <c:yMode val="edge"/>
          <c:x val="0.19329829704819768"/>
          <c:y val="0.13255170240659633"/>
          <c:w val="0.53654282347165949"/>
          <c:h val="0.68461709890098887"/>
        </c:manualLayout>
      </c:layout>
      <c:barChart>
        <c:barDir val="col"/>
        <c:grouping val="stacked"/>
        <c:varyColors val="0"/>
        <c:ser>
          <c:idx val="0"/>
          <c:order val="0"/>
          <c:tx>
            <c:strRef>
              <c:f>'3 Saalis'!$T$120</c:f>
              <c:strCache>
                <c:ptCount val="1"/>
                <c:pt idx="0">
                  <c:v>Muikku</c:v>
                </c:pt>
              </c:strCache>
            </c:strRef>
          </c:tx>
          <c:spPr>
            <a:solidFill>
              <a:srgbClr val="9999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Saalis'!$W$120:$AH$120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84B-48E5-860B-097459EA5745}"/>
            </c:ext>
          </c:extLst>
        </c:ser>
        <c:ser>
          <c:idx val="1"/>
          <c:order val="1"/>
          <c:tx>
            <c:strRef>
              <c:f>'3 Saalis'!$T$121</c:f>
              <c:strCache>
                <c:ptCount val="1"/>
                <c:pt idx="0">
                  <c:v>Kuha</c:v>
                </c:pt>
              </c:strCache>
            </c:strRef>
          </c:tx>
          <c:spPr>
            <a:solidFill>
              <a:srgbClr val="993366"/>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Saalis'!$W$121:$AH$121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84B-48E5-860B-097459EA5745}"/>
            </c:ext>
          </c:extLst>
        </c:ser>
        <c:ser>
          <c:idx val="2"/>
          <c:order val="2"/>
          <c:tx>
            <c:strRef>
              <c:f>'3 Saalis'!$T$122</c:f>
              <c:strCache>
                <c:ptCount val="1"/>
                <c:pt idx="0">
                  <c:v>Ahven</c:v>
                </c:pt>
              </c:strCache>
            </c:strRef>
          </c:tx>
          <c:spPr>
            <a:solidFill>
              <a:srgbClr val="FFFFCC"/>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Saalis'!$W$122:$AH$122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84B-48E5-860B-097459EA5745}"/>
            </c:ext>
          </c:extLst>
        </c:ser>
        <c:ser>
          <c:idx val="3"/>
          <c:order val="3"/>
          <c:tx>
            <c:strRef>
              <c:f>'3 Saalis'!$T$123</c:f>
              <c:strCache>
                <c:ptCount val="1"/>
                <c:pt idx="0">
                  <c:v>Siika</c:v>
                </c:pt>
              </c:strCache>
            </c:strRef>
          </c:tx>
          <c:spPr>
            <a:solidFill>
              <a:srgbClr val="CCFF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Saalis'!$W$123:$AH$123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84B-48E5-860B-097459EA5745}"/>
            </c:ext>
          </c:extLst>
        </c:ser>
        <c:ser>
          <c:idx val="4"/>
          <c:order val="4"/>
          <c:tx>
            <c:strRef>
              <c:f>'3 Saalis'!$T$124</c:f>
              <c:strCache>
                <c:ptCount val="1"/>
                <c:pt idx="0">
                  <c:v>Hauki</c:v>
                </c:pt>
              </c:strCache>
            </c:strRef>
          </c:tx>
          <c:spPr>
            <a:solidFill>
              <a:srgbClr val="660066"/>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Saalis'!$W$124:$AH$124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684B-48E5-860B-097459EA5745}"/>
            </c:ext>
          </c:extLst>
        </c:ser>
        <c:ser>
          <c:idx val="5"/>
          <c:order val="5"/>
          <c:tx>
            <c:strRef>
              <c:f>'3 Saalis'!$T$125</c:f>
              <c:strCache>
                <c:ptCount val="1"/>
                <c:pt idx="0">
                  <c:v>Made</c:v>
                </c:pt>
              </c:strCache>
            </c:strRef>
          </c:tx>
          <c:spPr>
            <a:solidFill>
              <a:srgbClr val="FF8080"/>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Saalis'!$W$125:$AH$125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684B-48E5-860B-097459EA5745}"/>
            </c:ext>
          </c:extLst>
        </c:ser>
        <c:ser>
          <c:idx val="6"/>
          <c:order val="6"/>
          <c:tx>
            <c:strRef>
              <c:f>'3 Saalis'!$T$126</c:f>
              <c:strCache>
                <c:ptCount val="1"/>
                <c:pt idx="0">
                  <c:v>Lohi/taimen</c:v>
                </c:pt>
              </c:strCache>
            </c:strRef>
          </c:tx>
          <c:spPr>
            <a:solidFill>
              <a:srgbClr val="0066CC"/>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Saalis'!$W$126:$AH$126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684B-48E5-860B-097459EA5745}"/>
            </c:ext>
          </c:extLst>
        </c:ser>
        <c:ser>
          <c:idx val="7"/>
          <c:order val="7"/>
          <c:tx>
            <c:strRef>
              <c:f>'3 Saalis'!$T$127</c:f>
              <c:strCache>
                <c:ptCount val="1"/>
                <c:pt idx="0">
                  <c:v>Lahna</c:v>
                </c:pt>
              </c:strCache>
            </c:strRef>
          </c:tx>
          <c:spPr>
            <a:solidFill>
              <a:srgbClr val="CCCC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Saalis'!$W$127:$AH$127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684B-48E5-860B-097459EA5745}"/>
            </c:ext>
          </c:extLst>
        </c:ser>
        <c:ser>
          <c:idx val="8"/>
          <c:order val="8"/>
          <c:tx>
            <c:strRef>
              <c:f>'3 Saalis'!$T$128</c:f>
              <c:strCache>
                <c:ptCount val="1"/>
                <c:pt idx="0">
                  <c:v>Särki</c:v>
                </c:pt>
              </c:strCache>
            </c:strRef>
          </c:tx>
          <c:spPr>
            <a:solidFill>
              <a:srgbClr val="000080"/>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Saalis'!$W$128:$AH$128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684B-48E5-860B-097459EA5745}"/>
            </c:ext>
          </c:extLst>
        </c:ser>
        <c:ser>
          <c:idx val="9"/>
          <c:order val="9"/>
          <c:tx>
            <c:strRef>
              <c:f>'3 Saalis'!$T$129</c:f>
              <c:strCache>
                <c:ptCount val="1"/>
                <c:pt idx="0">
                  <c:v>Kuore</c:v>
                </c:pt>
              </c:strCache>
            </c:strRef>
          </c:tx>
          <c:spPr>
            <a:solidFill>
              <a:srgbClr val="FF00FF"/>
            </a:solidFill>
            <a:ln w="12700">
              <a:solidFill>
                <a:srgbClr val="000000"/>
              </a:solidFill>
              <a:prstDash val="solid"/>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Saalis'!$W$129:$AH$129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684B-48E5-860B-097459EA5745}"/>
            </c:ext>
          </c:extLst>
        </c:ser>
        <c:ser>
          <c:idx val="10"/>
          <c:order val="10"/>
          <c:tx>
            <c:strRef>
              <c:f>'3 Saalis'!$T$130</c:f>
              <c:strCache>
                <c:ptCount val="1"/>
                <c:pt idx="0">
                  <c:v>Muu kala</c:v>
                </c:pt>
              </c:strCache>
            </c:strRef>
          </c:tx>
          <c:spPr>
            <a:ln>
              <a:solidFill>
                <a:sysClr val="windowText" lastClr="000000"/>
              </a:solidFill>
            </a:ln>
          </c:spPr>
          <c:invertIfNegative val="0"/>
          <c:cat>
            <c:numRef>
              <c:f>'3 Saalis'!$W$118:$AH$118</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Saalis'!$W$130:$AH$130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684B-48E5-860B-097459EA5745}"/>
            </c:ext>
          </c:extLst>
        </c:ser>
        <c:dLbls>
          <c:showLegendKey val="0"/>
          <c:showVal val="0"/>
          <c:showCatName val="0"/>
          <c:showSerName val="0"/>
          <c:showPercent val="0"/>
          <c:showBubbleSize val="0"/>
        </c:dLbls>
        <c:gapWidth val="50"/>
        <c:overlap val="100"/>
        <c:axId val="115225728"/>
        <c:axId val="115227648"/>
      </c:barChart>
      <c:catAx>
        <c:axId val="11522572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5828940234930273"/>
              <c:y val="0.9000023504524615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227648"/>
        <c:crosses val="autoZero"/>
        <c:auto val="1"/>
        <c:lblAlgn val="ctr"/>
        <c:lblOffset val="100"/>
        <c:tickLblSkip val="1"/>
        <c:tickMarkSkip val="1"/>
        <c:noMultiLvlLbl val="0"/>
      </c:catAx>
      <c:valAx>
        <c:axId val="115227648"/>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9929951379028439E-2"/>
              <c:y val="0.392308797221259"/>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225728"/>
        <c:crosses val="autoZero"/>
        <c:crossBetween val="between"/>
      </c:valAx>
      <c:spPr>
        <a:solidFill>
          <a:srgbClr val="CCFFFF"/>
        </a:solidFill>
        <a:ln w="12700">
          <a:solidFill>
            <a:srgbClr val="CCFFFF"/>
          </a:solidFill>
          <a:prstDash val="solid"/>
        </a:ln>
      </c:spPr>
    </c:plotArea>
    <c:legend>
      <c:legendPos val="r"/>
      <c:layout>
        <c:manualLayout>
          <c:xMode val="edge"/>
          <c:yMode val="edge"/>
          <c:x val="0.74394192017936989"/>
          <c:y val="0.18361546941063894"/>
          <c:w val="0.17280323566110894"/>
          <c:h val="0.63153628184535338"/>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Muuttuvat kustannukset</a:t>
            </a:r>
          </a:p>
        </c:rich>
      </c:tx>
      <c:layout>
        <c:manualLayout>
          <c:xMode val="edge"/>
          <c:yMode val="edge"/>
          <c:x val="0.13325913208217832"/>
          <c:y val="4.6749906261717288E-2"/>
        </c:manualLayout>
      </c:layout>
      <c:overlay val="0"/>
      <c:spPr>
        <a:noFill/>
        <a:ln w="25400">
          <a:noFill/>
        </a:ln>
      </c:spPr>
    </c:title>
    <c:autoTitleDeleted val="0"/>
    <c:plotArea>
      <c:layout>
        <c:manualLayout>
          <c:layoutTarget val="inner"/>
          <c:xMode val="edge"/>
          <c:yMode val="edge"/>
          <c:x val="0.11465662375581247"/>
          <c:y val="0.22115046296296295"/>
          <c:w val="0.45396643089895738"/>
          <c:h val="0.66943672839506152"/>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F6EC-4C10-8E68-2B52B298B4A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F6EC-4C10-8E68-2B52B298B4A2}"/>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kustannukset'!$B$32:$B$34</c:f>
              <c:strCache>
                <c:ptCount val="3"/>
                <c:pt idx="0">
                  <c:v>Työkustannukset</c:v>
                </c:pt>
                <c:pt idx="1">
                  <c:v>Polttoainekustannukset</c:v>
                </c:pt>
                <c:pt idx="2">
                  <c:v>Muut muuttuvat kustannukset</c:v>
                </c:pt>
              </c:strCache>
            </c:strRef>
          </c:cat>
          <c:val>
            <c:numRef>
              <c:f>'6 Muuttuvat kustannukset'!$E$32:$E$34</c:f>
              <c:numCache>
                <c:formatCode>#,##0</c:formatCode>
                <c:ptCount val="3"/>
                <c:pt idx="0">
                  <c:v>0</c:v>
                </c:pt>
                <c:pt idx="1">
                  <c:v>0</c:v>
                </c:pt>
                <c:pt idx="2">
                  <c:v>0</c:v>
                </c:pt>
              </c:numCache>
            </c:numRef>
          </c:val>
          <c:extLst>
            <c:ext xmlns:c16="http://schemas.microsoft.com/office/drawing/2014/chart" uri="{C3380CC4-5D6E-409C-BE32-E72D297353CC}">
              <c16:uniqueId val="{00000002-F6EC-4C10-8E68-2B52B298B4A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780836605952173"/>
          <c:y val="0.35821897262842722"/>
          <c:w val="0.33504759273511797"/>
          <c:h val="0.4229962504686910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Työkustannukset</a:t>
            </a:r>
          </a:p>
        </c:rich>
      </c:tx>
      <c:layout>
        <c:manualLayout>
          <c:xMode val="edge"/>
          <c:yMode val="edge"/>
          <c:x val="0.20082670570701275"/>
          <c:y val="2.5687683200183942E-2"/>
        </c:manualLayout>
      </c:layout>
      <c:overlay val="0"/>
      <c:spPr>
        <a:noFill/>
        <a:ln w="25400">
          <a:noFill/>
        </a:ln>
      </c:spPr>
    </c:title>
    <c:autoTitleDeleted val="0"/>
    <c:plotArea>
      <c:layout>
        <c:manualLayout>
          <c:layoutTarget val="inner"/>
          <c:xMode val="edge"/>
          <c:yMode val="edge"/>
          <c:x val="0.11787951858768089"/>
          <c:y val="0.20101378994062324"/>
          <c:w val="0.50203083821325123"/>
          <c:h val="0.69549431182625432"/>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C90A-405C-9842-72500414CD9C}"/>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C90A-405C-9842-72500414CD9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C90A-405C-9842-72500414CD9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C90A-405C-9842-72500414CD9C}"/>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kustannukset'!$B$8:$B$11</c:f>
              <c:strCache>
                <c:ptCount val="4"/>
                <c:pt idx="0">
                  <c:v>Kalastusmatkat  </c:v>
                </c:pt>
                <c:pt idx="1">
                  <c:v>Lajittelu/pakkaus</c:v>
                </c:pt>
                <c:pt idx="2">
                  <c:v>Perkaus/fileointi/mädin talteenotto</c:v>
                </c:pt>
                <c:pt idx="3">
                  <c:v>Kalan kuljetukset</c:v>
                </c:pt>
              </c:strCache>
            </c:strRef>
          </c:cat>
          <c:val>
            <c:numRef>
              <c:f>'6 Muuttuvat kustannukset'!$G$8:$G$11</c:f>
              <c:numCache>
                <c:formatCode>#,##0</c:formatCode>
                <c:ptCount val="4"/>
                <c:pt idx="0">
                  <c:v>0</c:v>
                </c:pt>
                <c:pt idx="1">
                  <c:v>0</c:v>
                </c:pt>
                <c:pt idx="2">
                  <c:v>0</c:v>
                </c:pt>
                <c:pt idx="3">
                  <c:v>0</c:v>
                </c:pt>
              </c:numCache>
            </c:numRef>
          </c:val>
          <c:extLst>
            <c:ext xmlns:c16="http://schemas.microsoft.com/office/drawing/2014/chart" uri="{C3380CC4-5D6E-409C-BE32-E72D297353CC}">
              <c16:uniqueId val="{00000004-C90A-405C-9842-72500414CD9C}"/>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704638678960002"/>
          <c:y val="0.30962890587583108"/>
          <c:w val="0.34036006805682434"/>
          <c:h val="0.55290150774948765"/>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Polttoainekustannukset</a:t>
            </a:r>
          </a:p>
        </c:rich>
      </c:tx>
      <c:layout>
        <c:manualLayout>
          <c:xMode val="edge"/>
          <c:yMode val="edge"/>
          <c:x val="0.26269194128511714"/>
          <c:y val="5.5299846139922157E-2"/>
        </c:manualLayout>
      </c:layout>
      <c:overlay val="0"/>
      <c:spPr>
        <a:noFill/>
        <a:ln w="25400">
          <a:noFill/>
        </a:ln>
      </c:spPr>
    </c:title>
    <c:autoTitleDeleted val="0"/>
    <c:plotArea>
      <c:layout>
        <c:manualLayout>
          <c:layoutTarget val="inner"/>
          <c:xMode val="edge"/>
          <c:yMode val="edge"/>
          <c:x val="0.16506299630201021"/>
          <c:y val="0.25021096372913648"/>
          <c:w val="0.46373975110178123"/>
          <c:h val="0.63723851227563699"/>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5BEB-484A-A0CD-0D6AAAC9E91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5BEB-484A-A0CD-0D6AAAC9E919}"/>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kustannukset'!$B$17,'6 Muuttuvat kustannukset'!$B$21)</c:f>
              <c:strCache>
                <c:ptCount val="2"/>
                <c:pt idx="0">
                  <c:v>Kalastusmatkat  </c:v>
                </c:pt>
                <c:pt idx="1">
                  <c:v>Kalan kuljetukset</c:v>
                </c:pt>
              </c:strCache>
            </c:strRef>
          </c:cat>
          <c:val>
            <c:numRef>
              <c:f>('6 Muuttuvat kustannukset'!$G$17,'6 Muuttuvat kustannukset'!$G$21)</c:f>
              <c:numCache>
                <c:formatCode>#,##0</c:formatCode>
                <c:ptCount val="2"/>
                <c:pt idx="0">
                  <c:v>0</c:v>
                </c:pt>
                <c:pt idx="1">
                  <c:v>0</c:v>
                </c:pt>
              </c:numCache>
            </c:numRef>
          </c:val>
          <c:extLst>
            <c:ext xmlns:c16="http://schemas.microsoft.com/office/drawing/2014/chart" uri="{C3380CC4-5D6E-409C-BE32-E72D297353CC}">
              <c16:uniqueId val="{00000002-5BEB-484A-A0CD-0D6AAAC9E919}"/>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i-FI"/>
              <a:t>Pyynnin kustannusrakenne</a:t>
            </a:r>
          </a:p>
        </c:rich>
      </c:tx>
      <c:layout>
        <c:manualLayout>
          <c:xMode val="edge"/>
          <c:yMode val="edge"/>
          <c:x val="0.18235115347423694"/>
          <c:y val="3.877667465479858E-2"/>
        </c:manualLayout>
      </c:layout>
      <c:overlay val="0"/>
      <c:spPr>
        <a:noFill/>
        <a:ln w="25400">
          <a:noFill/>
        </a:ln>
      </c:spPr>
    </c:title>
    <c:autoTitleDeleted val="0"/>
    <c:plotArea>
      <c:layout>
        <c:manualLayout>
          <c:layoutTarget val="inner"/>
          <c:xMode val="edge"/>
          <c:yMode val="edge"/>
          <c:x val="0.14179648362488459"/>
          <c:y val="0.24174991133397294"/>
          <c:w val="0.44789514201207414"/>
          <c:h val="0.61904753674370483"/>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0-3F48-4E5A-8477-D402DA8687C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3F48-4E5A-8477-D402DA8687CE}"/>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'6 Muuttuvat kustannukset'!$B$39:$B$40</c:f>
              <c:strCache>
                <c:ptCount val="2"/>
                <c:pt idx="0">
                  <c:v>Kalastus</c:v>
                </c:pt>
                <c:pt idx="1">
                  <c:v>Kalan käsittely ja kuljetus</c:v>
                </c:pt>
              </c:strCache>
            </c:strRef>
          </c:cat>
          <c:val>
            <c:numRef>
              <c:f>'6 Muuttuvat kustannukset'!$E$39:$E$40</c:f>
              <c:numCache>
                <c:formatCode>#,##0</c:formatCode>
                <c:ptCount val="2"/>
                <c:pt idx="0">
                  <c:v>0</c:v>
                </c:pt>
                <c:pt idx="1">
                  <c:v>0</c:v>
                </c:pt>
              </c:numCache>
            </c:numRef>
          </c:val>
          <c:extLst>
            <c:ext xmlns:c16="http://schemas.microsoft.com/office/drawing/2014/chart" uri="{C3380CC4-5D6E-409C-BE32-E72D297353CC}">
              <c16:uniqueId val="{00000002-3F48-4E5A-8477-D402DA8687C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732685328210936"/>
          <c:y val="0.40702639594800816"/>
          <c:w val="0.32918333772871688"/>
          <c:h val="0.28696038413259051"/>
        </c:manualLayout>
      </c:layout>
      <c:overlay val="0"/>
      <c:txPr>
        <a:bodyPr/>
        <a:lstStyle/>
        <a:p>
          <a:pPr>
            <a:defRPr sz="110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500" b="0" i="0" u="none" strike="noStrike" baseline="0">
          <a:solidFill>
            <a:srgbClr val="000000"/>
          </a:solidFill>
          <a:latin typeface="Arial"/>
          <a:ea typeface="Arial"/>
          <a:cs typeface="Arial"/>
        </a:defRPr>
      </a:pPr>
      <a:endParaRPr lang="fi-FI"/>
    </a:p>
  </c:txPr>
  <c:printSettings>
    <c:headerFooter alignWithMargins="0"/>
    <c:pageMargins b="1" l="0.75000000000001377" r="0.75000000000001377"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Arial"/>
                <a:ea typeface="Arial"/>
                <a:cs typeface="Arial"/>
              </a:defRPr>
            </a:pPr>
            <a:r>
              <a:rPr lang="fi-FI"/>
              <a:t>Koko yrityksen kiinteät kustannukset</a:t>
            </a:r>
          </a:p>
        </c:rich>
      </c:tx>
      <c:layout>
        <c:manualLayout>
          <c:xMode val="edge"/>
          <c:yMode val="edge"/>
          <c:x val="0.13474259195861388"/>
          <c:y val="3.8670680870773612E-2"/>
        </c:manualLayout>
      </c:layout>
      <c:overlay val="0"/>
      <c:spPr>
        <a:noFill/>
        <a:ln w="25400">
          <a:noFill/>
        </a:ln>
      </c:spPr>
    </c:title>
    <c:autoTitleDeleted val="0"/>
    <c:plotArea>
      <c:layout>
        <c:manualLayout>
          <c:layoutTarget val="inner"/>
          <c:xMode val="edge"/>
          <c:yMode val="edge"/>
          <c:x val="0.1395927399797563"/>
          <c:y val="0.17139315106135394"/>
          <c:w val="0.40827575567805147"/>
          <c:h val="0.72120998000503989"/>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8401-46C5-8773-653A887316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8401-46C5-8773-653A887316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8401-46C5-8773-653A887316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8401-46C5-8773-653A887316B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8401-46C5-8773-653A887316B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8401-46C5-8773-653A887316B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8401-46C5-8773-653A887316B1}"/>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kustannukset'!$AB$7:$AB$14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8401-46C5-8773-653A887316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472631138500291"/>
          <c:y val="0.24855488652154104"/>
          <c:w val="0.30747034881509488"/>
          <c:h val="0.64714476866863524"/>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Kiinteät kustannukset</a:t>
            </a:r>
          </a:p>
        </c:rich>
      </c:tx>
      <c:layout>
        <c:manualLayout>
          <c:xMode val="edge"/>
          <c:yMode val="edge"/>
          <c:x val="0.19463046848873619"/>
          <c:y val="2.5001916082804825E-2"/>
        </c:manualLayout>
      </c:layout>
      <c:overlay val="0"/>
      <c:spPr>
        <a:noFill/>
        <a:ln w="25400">
          <a:noFill/>
        </a:ln>
      </c:spPr>
    </c:title>
    <c:autoTitleDeleted val="0"/>
    <c:plotArea>
      <c:layout>
        <c:manualLayout>
          <c:layoutTarget val="inner"/>
          <c:xMode val="edge"/>
          <c:yMode val="edge"/>
          <c:x val="5.7944585720558946E-2"/>
          <c:y val="0.14510764522903932"/>
          <c:w val="0.5361706343127346"/>
          <c:h val="0.7578140404310146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148A-43E5-A34C-5C17310FFE5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148A-43E5-A34C-5C17310FFE5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148A-43E5-A34C-5C17310FFE5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148A-43E5-A34C-5C17310FFE5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148A-43E5-A34C-5C17310FFE5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148A-43E5-A34C-5C17310FFE5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148A-43E5-A34C-5C17310FFE52}"/>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kustannukset'!$X$7:$X$14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148A-43E5-A34C-5C17310FFE5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32480061614113"/>
          <c:y val="0.15410743078603381"/>
          <c:w val="0.36396578806028207"/>
          <c:h val="0.731636190104336"/>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Kiinteät kustannukset</a:t>
            </a:r>
          </a:p>
        </c:rich>
      </c:tx>
      <c:layout>
        <c:manualLayout>
          <c:xMode val="edge"/>
          <c:yMode val="edge"/>
          <c:x val="0.14127298705073341"/>
          <c:y val="2.8399780478888029E-2"/>
        </c:manualLayout>
      </c:layout>
      <c:overlay val="0"/>
      <c:spPr>
        <a:noFill/>
        <a:ln w="25400">
          <a:noFill/>
        </a:ln>
      </c:spPr>
    </c:title>
    <c:autoTitleDeleted val="0"/>
    <c:plotArea>
      <c:layout>
        <c:manualLayout>
          <c:layoutTarget val="inner"/>
          <c:xMode val="edge"/>
          <c:yMode val="edge"/>
          <c:x val="5.8113296253272134E-2"/>
          <c:y val="0.15446966315358956"/>
          <c:w val="0.52234993614305514"/>
          <c:h val="0.7156605424322000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1840-4889-8FCB-79E867AD62C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1840-4889-8FCB-79E867AD62C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1840-4889-8FCB-79E867AD62C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1840-4889-8FCB-79E867AD62C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1840-4889-8FCB-79E867AD62C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1840-4889-8FCB-79E867AD62C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1840-4889-8FCB-79E867AD62C2}"/>
              </c:ext>
            </c:extLst>
          </c:dPt>
          <c:dLbls>
            <c:dLbl>
              <c:idx val="2"/>
              <c:numFmt formatCode="0%" sourceLinked="0"/>
              <c:spPr>
                <a:noFill/>
                <a:ln w="25400">
                  <a:noFill/>
                </a:ln>
              </c:spPr>
              <c:txPr>
                <a:bodyPr/>
                <a:lstStyle/>
                <a:p>
                  <a:pPr>
                    <a:defRPr sz="1050" b="1" i="0" u="none" strike="noStrike" baseline="0">
                      <a:solidFill>
                        <a:srgbClr val="000000"/>
                      </a:solidFill>
                      <a:latin typeface="Arial"/>
                      <a:ea typeface="Arial"/>
                      <a:cs typeface="Arial"/>
                    </a:defRPr>
                  </a:pPr>
                  <a:endParaRPr lang="fi-FI"/>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840-4889-8FCB-79E867AD62C2}"/>
                </c:ext>
              </c:extLst>
            </c:dLbl>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kustannukset'!$Z$7:$Z$14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1840-4889-8FCB-79E867AD62C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246489626060065"/>
          <c:y val="0.17394121010464444"/>
          <c:w val="0.36326836521861666"/>
          <c:h val="0.7076159574541534"/>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Kiinteät kustannukset</a:t>
            </a:r>
          </a:p>
        </c:rich>
      </c:tx>
      <c:layout>
        <c:manualLayout>
          <c:xMode val="edge"/>
          <c:yMode val="edge"/>
          <c:x val="0.21900725940927623"/>
          <c:y val="2.4545984782205255E-2"/>
        </c:manualLayout>
      </c:layout>
      <c:overlay val="0"/>
      <c:spPr>
        <a:noFill/>
        <a:ln w="25400">
          <a:noFill/>
        </a:ln>
      </c:spPr>
    </c:title>
    <c:autoTitleDeleted val="0"/>
    <c:plotArea>
      <c:layout>
        <c:manualLayout>
          <c:layoutTarget val="inner"/>
          <c:xMode val="edge"/>
          <c:yMode val="edge"/>
          <c:x val="7.1182929986749924E-2"/>
          <c:y val="0.20298711404793454"/>
          <c:w val="0.52460784761672685"/>
          <c:h val="0.68146295783378841"/>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92B1-4678-9B78-19430450644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92B1-4678-9B78-19430450644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92B1-4678-9B78-19430450644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92B1-4678-9B78-19430450644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92B1-4678-9B78-19430450644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92B1-4678-9B78-19430450644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92B1-4678-9B78-194304506443}"/>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kustannukset'!$V$7:$V$14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92B1-4678-9B78-194304506443}"/>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818847260216704"/>
          <c:y val="0.25392189612662058"/>
          <c:w val="0.36830585236347052"/>
          <c:h val="0.64723455022667664"/>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Kiinteät kustannukset</a:t>
            </a:r>
          </a:p>
        </c:rich>
      </c:tx>
      <c:layout>
        <c:manualLayout>
          <c:xMode val="edge"/>
          <c:yMode val="edge"/>
          <c:x val="0.19463044814565464"/>
          <c:y val="2.5001916082804825E-2"/>
        </c:manualLayout>
      </c:layout>
      <c:overlay val="0"/>
      <c:spPr>
        <a:noFill/>
        <a:ln w="25400">
          <a:noFill/>
        </a:ln>
      </c:spPr>
    </c:title>
    <c:autoTitleDeleted val="0"/>
    <c:plotArea>
      <c:layout>
        <c:manualLayout>
          <c:layoutTarget val="inner"/>
          <c:xMode val="edge"/>
          <c:yMode val="edge"/>
          <c:x val="8.2824631335048207E-2"/>
          <c:y val="0.15610672863875172"/>
          <c:w val="0.50796453747520953"/>
          <c:h val="0.74681495702129863"/>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2676-4786-B8A7-151F5D759AD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2676-4786-B8A7-151F5D759AD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2676-4786-B8A7-151F5D759AD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2676-4786-B8A7-151F5D759AD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2676-4786-B8A7-151F5D759AD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2676-4786-B8A7-151F5D759AD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2676-4786-B8A7-151F5D759AD5}"/>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kustannukset'!$Y$7:$Y$14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2676-4786-B8A7-151F5D759AD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4305301056700148"/>
          <c:y val="0.18316536879171141"/>
          <c:w val="0.35277327322932722"/>
          <c:h val="0.70646623717489865"/>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       Kiinteät kustannukset</a:t>
            </a:r>
          </a:p>
        </c:rich>
      </c:tx>
      <c:layout>
        <c:manualLayout>
          <c:xMode val="edge"/>
          <c:yMode val="edge"/>
          <c:x val="0.14946267951501804"/>
          <c:y val="2.8399369634310258E-2"/>
        </c:manualLayout>
      </c:layout>
      <c:overlay val="0"/>
      <c:spPr>
        <a:noFill/>
        <a:ln w="25400">
          <a:noFill/>
        </a:ln>
      </c:spPr>
    </c:title>
    <c:autoTitleDeleted val="0"/>
    <c:plotArea>
      <c:layout>
        <c:manualLayout>
          <c:layoutTarget val="inner"/>
          <c:xMode val="edge"/>
          <c:yMode val="edge"/>
          <c:x val="8.0177719919084151E-2"/>
          <c:y val="0.17402650427185937"/>
          <c:w val="0.50702126875182596"/>
          <c:h val="0.71243007070423758"/>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0A00-4177-8DC6-9DFF8CF0911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0A00-4177-8DC6-9DFF8CF0911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0A00-4177-8DC6-9DFF8CF0911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0A00-4177-8DC6-9DFF8CF0911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0A00-4177-8DC6-9DFF8CF0911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0A00-4177-8DC6-9DFF8CF0911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0A00-4177-8DC6-9DFF8CF09110}"/>
              </c:ext>
            </c:extLst>
          </c:dPt>
          <c:dLbls>
            <c:dLbl>
              <c:idx val="2"/>
              <c:numFmt formatCode="0%" sourceLinked="0"/>
              <c:spPr>
                <a:noFill/>
                <a:ln w="25400">
                  <a:noFill/>
                </a:ln>
              </c:spPr>
              <c:txPr>
                <a:bodyPr/>
                <a:lstStyle/>
                <a:p>
                  <a:pPr>
                    <a:defRPr sz="1050" b="1" i="0" u="none" strike="noStrike" baseline="0">
                      <a:solidFill>
                        <a:srgbClr val="000000"/>
                      </a:solidFill>
                      <a:latin typeface="Arial"/>
                      <a:ea typeface="Arial"/>
                      <a:cs typeface="Arial"/>
                    </a:defRPr>
                  </a:pPr>
                  <a:endParaRPr lang="fi-FI"/>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00-4177-8DC6-9DFF8CF09110}"/>
                </c:ext>
              </c:extLst>
            </c:dLbl>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kustannukset'!$AA$7:$AA$14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0A00-4177-8DC6-9DFF8CF091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4245445998355766"/>
          <c:y val="0.18462640308259667"/>
          <c:w val="0.35244956320759102"/>
          <c:h val="0.70679315351540084"/>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4199302105358739"/>
          <c:y val="3.5532911327260656E-2"/>
        </c:manualLayout>
      </c:layout>
      <c:overlay val="0"/>
      <c:spPr>
        <a:noFill/>
        <a:ln w="25400">
          <a:noFill/>
        </a:ln>
      </c:spPr>
    </c:title>
    <c:autoTitleDeleted val="0"/>
    <c:plotArea>
      <c:layout>
        <c:manualLayout>
          <c:layoutTarget val="inner"/>
          <c:xMode val="edge"/>
          <c:yMode val="edge"/>
          <c:x val="0.15807663722268403"/>
          <c:y val="0.1533108292991632"/>
          <c:w val="0.53736701492213057"/>
          <c:h val="0.66243736917702156"/>
        </c:manualLayout>
      </c:layout>
      <c:barChart>
        <c:barDir val="col"/>
        <c:grouping val="clustered"/>
        <c:varyColors val="0"/>
        <c:ser>
          <c:idx val="0"/>
          <c:order val="0"/>
          <c:tx>
            <c:strRef>
              <c:f>'3 Saalis'!$T$163</c:f>
              <c:strCache>
                <c:ptCount val="1"/>
                <c:pt idx="0">
                  <c:v>Silakka</c:v>
                </c:pt>
              </c:strCache>
            </c:strRef>
          </c:tx>
          <c:spPr>
            <a:solidFill>
              <a:srgbClr val="9999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Saalis'!$W$163:$AH$163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6E-416A-8EFD-58E9CF8FC6CD}"/>
            </c:ext>
          </c:extLst>
        </c:ser>
        <c:dLbls>
          <c:showLegendKey val="0"/>
          <c:showVal val="0"/>
          <c:showCatName val="0"/>
          <c:showSerName val="0"/>
          <c:showPercent val="0"/>
          <c:showBubbleSize val="0"/>
        </c:dLbls>
        <c:gapWidth val="50"/>
        <c:axId val="115260416"/>
        <c:axId val="115364992"/>
      </c:barChart>
      <c:catAx>
        <c:axId val="11526041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807834234888739"/>
              <c:y val="0.90101641706551394"/>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364992"/>
        <c:crosses val="autoZero"/>
        <c:auto val="1"/>
        <c:lblAlgn val="ctr"/>
        <c:lblOffset val="100"/>
        <c:tickLblSkip val="1"/>
        <c:tickMarkSkip val="1"/>
        <c:noMultiLvlLbl val="0"/>
      </c:catAx>
      <c:valAx>
        <c:axId val="115364992"/>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1.7166651532644087E-2"/>
              <c:y val="0.40950156965673407"/>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260416"/>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7268784565026571"/>
          <c:y val="0.51522901549071065"/>
          <c:w val="0.1695166193187958"/>
          <c:h val="5.5837579126139104E-2"/>
        </c:manualLayout>
      </c:layout>
      <c:overlay val="0"/>
      <c:spPr>
        <a:solidFill>
          <a:srgbClr val="33CCCC"/>
        </a:solidFill>
        <a:ln w="25400">
          <a:noFill/>
        </a:ln>
      </c:spPr>
      <c:txPr>
        <a:bodyPr/>
        <a:lstStyle/>
        <a:p>
          <a:pPr>
            <a:defRPr sz="12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Kiinteät kustannukset</a:t>
            </a:r>
          </a:p>
        </c:rich>
      </c:tx>
      <c:layout>
        <c:manualLayout>
          <c:xMode val="edge"/>
          <c:yMode val="edge"/>
          <c:x val="0.21900712970580191"/>
          <c:y val="2.4546034939735728E-2"/>
        </c:manualLayout>
      </c:layout>
      <c:overlay val="0"/>
      <c:spPr>
        <a:noFill/>
        <a:ln w="25400">
          <a:noFill/>
        </a:ln>
      </c:spPr>
    </c:title>
    <c:autoTitleDeleted val="0"/>
    <c:plotArea>
      <c:layout>
        <c:manualLayout>
          <c:layoutTarget val="inner"/>
          <c:xMode val="edge"/>
          <c:yMode val="edge"/>
          <c:x val="6.8150542508844697E-2"/>
          <c:y val="0.22301828720921291"/>
          <c:w val="0.50104323317532762"/>
          <c:h val="0.65200902818744977"/>
        </c:manualLayout>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0-1EA3-4168-8CF6-04BE8595BC0D}"/>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1-1EA3-4168-8CF6-04BE8595BC0D}"/>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2-1EA3-4168-8CF6-04BE8595BC0D}"/>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3-1EA3-4168-8CF6-04BE8595BC0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4-1EA3-4168-8CF6-04BE8595BC0D}"/>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5-1EA3-4168-8CF6-04BE8595BC0D}"/>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6-1EA3-4168-8CF6-04BE8595BC0D}"/>
              </c:ext>
            </c:extLst>
          </c:dPt>
          <c:dLbls>
            <c:numFmt formatCode="0%" sourceLinked="0"/>
            <c:spPr>
              <a:noFill/>
              <a:ln w="25400">
                <a:noFill/>
              </a:ln>
            </c:spPr>
            <c:txPr>
              <a:bodyPr/>
              <a:lstStyle/>
              <a:p>
                <a:pPr>
                  <a:defRPr sz="1000" b="1" i="0" u="none" strike="noStrike" baseline="0">
                    <a:solidFill>
                      <a:srgbClr val="000000"/>
                    </a:solidFill>
                    <a:latin typeface="Arial"/>
                    <a:ea typeface="Arial"/>
                    <a:cs typeface="Arial"/>
                  </a:defRPr>
                </a:pPr>
                <a:endParaRPr lang="fi-FI"/>
              </a:p>
            </c:txPr>
            <c:showLegendKey val="0"/>
            <c:showVal val="0"/>
            <c:showCatName val="0"/>
            <c:showSerName val="0"/>
            <c:showPercent val="1"/>
            <c:showBubbleSize val="0"/>
            <c:showLeaderLines val="1"/>
            <c:extLst>
              <c:ext xmlns:c15="http://schemas.microsoft.com/office/drawing/2012/chart" uri="{CE6537A1-D6FC-4f65-9D91-7224C49458BB}"/>
            </c:extLst>
          </c:dLbls>
          <c:cat>
            <c:strRef>
              <c:f>'7 Kiinteät kustannukset'!$U$7:$U$14</c:f>
              <c:strCache>
                <c:ptCount val="8"/>
                <c:pt idx="0">
                  <c:v>Kunnossapito ja korjaus</c:v>
                </c:pt>
                <c:pt idx="1">
                  <c:v>Vakuutukset</c:v>
                </c:pt>
                <c:pt idx="2">
                  <c:v>Palkat ja omat eläkemaksut</c:v>
                </c:pt>
                <c:pt idx="3">
                  <c:v>Pakkaukset ja rahdit</c:v>
                </c:pt>
                <c:pt idx="4">
                  <c:v>Vuokrat</c:v>
                </c:pt>
                <c:pt idx="5">
                  <c:v>Muut kiinteät kustannukset</c:v>
                </c:pt>
                <c:pt idx="6">
                  <c:v>Poistot</c:v>
                </c:pt>
                <c:pt idx="7">
                  <c:v>Rahoituskustannukset</c:v>
                </c:pt>
              </c:strCache>
            </c:strRef>
          </c:cat>
          <c:val>
            <c:numRef>
              <c:f>'7 Kiinteät kustannukset'!$W$7:$W$14</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1EA3-4168-8CF6-04BE8595BC0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3831883887649365"/>
          <c:y val="0.26815041240238074"/>
          <c:w val="0.35228013475927838"/>
          <c:h val="0.6454760845312032"/>
        </c:manualLayout>
      </c:layout>
      <c:overlay val="0"/>
      <c:txPr>
        <a:bodyPr/>
        <a:lstStyle/>
        <a:p>
          <a:pPr>
            <a:defRPr sz="1150" b="0" i="0" u="none" strike="noStrike" baseline="0">
              <a:solidFill>
                <a:srgbClr val="000000"/>
              </a:solidFill>
              <a:latin typeface="Arial"/>
              <a:ea typeface="Arial"/>
              <a:cs typeface="Arial"/>
            </a:defRPr>
          </a:pPr>
          <a:endParaRPr lang="fi-FI"/>
        </a:p>
      </c:txPr>
    </c:legend>
    <c:plotVisOnly val="1"/>
    <c:dispBlanksAs val="zero"/>
    <c:showDLblsOverMax val="0"/>
  </c:chart>
  <c:spPr>
    <a:solidFill>
      <a:srgbClr val="33CCCC"/>
    </a:solidFill>
    <a:ln w="9525">
      <a:noFill/>
    </a:ln>
  </c:spPr>
  <c:txPr>
    <a:bodyPr/>
    <a:lstStyle/>
    <a:p>
      <a:pPr>
        <a:defRPr sz="800" b="0" i="0" u="none" strike="noStrike" baseline="0">
          <a:solidFill>
            <a:srgbClr val="000000"/>
          </a:solidFill>
          <a:latin typeface="Arial"/>
          <a:ea typeface="Arial"/>
          <a:cs typeface="Arial"/>
        </a:defRPr>
      </a:pPr>
      <a:endParaRPr lang="fi-FI"/>
    </a:p>
  </c:txPr>
  <c:printSettings>
    <c:headerFooter alignWithMargins="0"/>
    <c:pageMargins b="1" l="0.75000000000001354" r="0.75000000000001354"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Taloudellinen tulos</a:t>
            </a:r>
          </a:p>
        </c:rich>
      </c:tx>
      <c:overlay val="0"/>
      <c:spPr>
        <a:noFill/>
        <a:ln w="25400">
          <a:noFill/>
        </a:ln>
      </c:spPr>
    </c:title>
    <c:autoTitleDeleted val="0"/>
    <c:plotArea>
      <c:layout>
        <c:manualLayout>
          <c:layoutTarget val="inner"/>
          <c:xMode val="edge"/>
          <c:yMode val="edge"/>
          <c:x val="0.11889453908635422"/>
          <c:y val="0.13400012751355617"/>
          <c:w val="0.73394070190718164"/>
          <c:h val="0.69099846402952103"/>
        </c:manualLayout>
      </c:layout>
      <c:barChart>
        <c:barDir val="col"/>
        <c:grouping val="stacked"/>
        <c:varyColors val="0"/>
        <c:ser>
          <c:idx val="4"/>
          <c:order val="0"/>
          <c:tx>
            <c:strRef>
              <c:f>'8 Taloudellinen tulos'!$AE$11</c:f>
              <c:strCache>
                <c:ptCount val="1"/>
                <c:pt idx="0">
                  <c:v>Nettotulos</c:v>
                </c:pt>
              </c:strCache>
            </c:strRef>
          </c:tx>
          <c:spPr>
            <a:solidFill>
              <a:srgbClr val="FF0000"/>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tulos'!$AF$11:$AL$11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E43-4133-8428-B2260C118C30}"/>
            </c:ext>
          </c:extLst>
        </c:ser>
        <c:ser>
          <c:idx val="0"/>
          <c:order val="1"/>
          <c:tx>
            <c:strRef>
              <c:f>'8 Taloudellinen tulos'!$AE$7</c:f>
              <c:strCache>
                <c:ptCount val="1"/>
                <c:pt idx="0">
                  <c:v>Muuttuvat kulut</c:v>
                </c:pt>
              </c:strCache>
            </c:strRef>
          </c:tx>
          <c:spPr>
            <a:solidFill>
              <a:srgbClr val="9999FF"/>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tulos'!$AF$7:$AL$7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7E43-4133-8428-B2260C118C30}"/>
            </c:ext>
          </c:extLst>
        </c:ser>
        <c:ser>
          <c:idx val="1"/>
          <c:order val="2"/>
          <c:tx>
            <c:strRef>
              <c:f>'8 Taloudellinen tulos'!$AE$8</c:f>
              <c:strCache>
                <c:ptCount val="1"/>
                <c:pt idx="0">
                  <c:v>Kiinteät kulut</c:v>
                </c:pt>
              </c:strCache>
            </c:strRef>
          </c:tx>
          <c:spPr>
            <a:solidFill>
              <a:srgbClr val="993366"/>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tulos'!$AF$8:$AL$8</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7E43-4133-8428-B2260C118C30}"/>
            </c:ext>
          </c:extLst>
        </c:ser>
        <c:ser>
          <c:idx val="2"/>
          <c:order val="3"/>
          <c:tx>
            <c:strRef>
              <c:f>'8 Taloudellinen tulos'!$AE$9</c:f>
              <c:strCache>
                <c:ptCount val="1"/>
                <c:pt idx="0">
                  <c:v>Poistot</c:v>
                </c:pt>
              </c:strCache>
            </c:strRef>
          </c:tx>
          <c:spPr>
            <a:solidFill>
              <a:srgbClr val="008000"/>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tulos'!$AF$9:$AL$9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7E43-4133-8428-B2260C118C30}"/>
            </c:ext>
          </c:extLst>
        </c:ser>
        <c:ser>
          <c:idx val="3"/>
          <c:order val="4"/>
          <c:tx>
            <c:strRef>
              <c:f>'8 Taloudellinen tulos'!$AE$10</c:f>
              <c:strCache>
                <c:ptCount val="1"/>
                <c:pt idx="0">
                  <c:v>Rahoituskulut</c:v>
                </c:pt>
              </c:strCache>
            </c:strRef>
          </c:tx>
          <c:spPr>
            <a:solidFill>
              <a:srgbClr val="00FF00"/>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tulos'!$AF$10:$AL$10</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7E43-4133-8428-B2260C118C30}"/>
            </c:ext>
          </c:extLst>
        </c:ser>
        <c:dLbls>
          <c:showLegendKey val="0"/>
          <c:showVal val="0"/>
          <c:showCatName val="0"/>
          <c:showSerName val="0"/>
          <c:showPercent val="0"/>
          <c:showBubbleSize val="0"/>
        </c:dLbls>
        <c:gapWidth val="55"/>
        <c:overlap val="100"/>
        <c:axId val="42763008"/>
        <c:axId val="42764544"/>
      </c:barChart>
      <c:catAx>
        <c:axId val="42763008"/>
        <c:scaling>
          <c:orientation val="minMax"/>
        </c:scaling>
        <c:delete val="0"/>
        <c:axPos val="b"/>
        <c:numFmt formatCode="General" sourceLinked="1"/>
        <c:majorTickMark val="none"/>
        <c:minorTickMark val="none"/>
        <c:tickLblPos val="nextTo"/>
        <c:spPr>
          <a:ln w="254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fi-FI"/>
          </a:p>
        </c:txPr>
        <c:crossAx val="42764544"/>
        <c:crosses val="autoZero"/>
        <c:auto val="1"/>
        <c:lblAlgn val="ctr"/>
        <c:lblOffset val="100"/>
        <c:tickLblSkip val="1"/>
        <c:tickMarkSkip val="1"/>
        <c:noMultiLvlLbl val="0"/>
      </c:catAx>
      <c:valAx>
        <c:axId val="42764544"/>
        <c:scaling>
          <c:orientation val="minMax"/>
        </c:scaling>
        <c:delete val="0"/>
        <c:axPos val="l"/>
        <c:majorGridlines>
          <c:spPr>
            <a:ln w="3175">
              <a:solidFill>
                <a:srgbClr val="000000"/>
              </a:solidFill>
              <a:prstDash val="sysDash"/>
            </a:ln>
          </c:spPr>
        </c:majorGridlines>
        <c:title>
          <c:tx>
            <c:rich>
              <a:bodyPr rot="0" vert="horz"/>
              <a:lstStyle/>
              <a:p>
                <a:pPr algn="ctr">
                  <a:defRPr sz="1400" b="1" i="0" u="none" strike="noStrike" baseline="0">
                    <a:solidFill>
                      <a:srgbClr val="000000"/>
                    </a:solidFill>
                    <a:latin typeface="Arial"/>
                    <a:ea typeface="Arial"/>
                    <a:cs typeface="Arial"/>
                  </a:defRPr>
                </a:pPr>
                <a:r>
                  <a:rPr lang="fi-FI"/>
                  <a:t>€</a:t>
                </a:r>
              </a:p>
            </c:rich>
          </c:tx>
          <c:layout>
            <c:manualLayout>
              <c:xMode val="edge"/>
              <c:yMode val="edge"/>
              <c:x val="8.1034407516163247E-3"/>
              <c:y val="0.46760257982828213"/>
            </c:manualLayout>
          </c:layout>
          <c:overlay val="0"/>
        </c:title>
        <c:numFmt formatCode="#,##0" sourceLinked="1"/>
        <c:majorTickMark val="none"/>
        <c:minorTickMark val="none"/>
        <c:tickLblPos val="nextTo"/>
        <c:txPr>
          <a:bodyPr rot="0" vert="horz"/>
          <a:lstStyle/>
          <a:p>
            <a:pPr>
              <a:defRPr sz="1100" b="1" i="0" u="none" strike="noStrike" baseline="0">
                <a:solidFill>
                  <a:srgbClr val="000000"/>
                </a:solidFill>
                <a:latin typeface="Arial"/>
                <a:ea typeface="Arial"/>
                <a:cs typeface="Arial"/>
              </a:defRPr>
            </a:pPr>
            <a:endParaRPr lang="fi-FI"/>
          </a:p>
        </c:txPr>
        <c:crossAx val="42763008"/>
        <c:crosses val="autoZero"/>
        <c:crossBetween val="between"/>
      </c:valAx>
      <c:spPr>
        <a:solidFill>
          <a:srgbClr val="CCFFFF"/>
        </a:solidFill>
        <a:ln w="12700">
          <a:solidFill>
            <a:srgbClr val="808080"/>
          </a:solidFill>
          <a:prstDash val="solid"/>
        </a:ln>
      </c:spPr>
    </c:plotArea>
    <c:legend>
      <c:legendPos val="r"/>
      <c:layout>
        <c:manualLayout>
          <c:xMode val="edge"/>
          <c:yMode val="edge"/>
          <c:x val="0.85295631103594316"/>
          <c:y val="0.31816537079550888"/>
          <c:w val="0.14381057474704009"/>
          <c:h val="0.37893245756340732"/>
        </c:manualLayout>
      </c:layout>
      <c:overlay val="0"/>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0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Nettotulos-%</a:t>
            </a:r>
          </a:p>
        </c:rich>
      </c:tx>
      <c:layout>
        <c:manualLayout>
          <c:xMode val="edge"/>
          <c:yMode val="edge"/>
          <c:x val="0.41706859682920444"/>
          <c:y val="3.4340944881889782E-2"/>
        </c:manualLayout>
      </c:layout>
      <c:overlay val="0"/>
      <c:spPr>
        <a:noFill/>
        <a:ln w="25400">
          <a:noFill/>
        </a:ln>
      </c:spPr>
    </c:title>
    <c:autoTitleDeleted val="0"/>
    <c:plotArea>
      <c:layout>
        <c:manualLayout>
          <c:layoutTarget val="inner"/>
          <c:xMode val="edge"/>
          <c:yMode val="edge"/>
          <c:x val="0.12529362373774339"/>
          <c:y val="0.13741912934710751"/>
          <c:w val="0.72476374603896854"/>
          <c:h val="0.77978840945141004"/>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'8 Taloudellinen tulos'!$AF$6:$AL$6</c:f>
              <c:strCache>
                <c:ptCount val="7"/>
                <c:pt idx="0">
                  <c:v>Koko yritys</c:v>
                </c:pt>
                <c:pt idx="1">
                  <c:v>Verkko1</c:v>
                </c:pt>
                <c:pt idx="2">
                  <c:v>Verkko2</c:v>
                </c:pt>
                <c:pt idx="3">
                  <c:v>Isorysä1</c:v>
                </c:pt>
                <c:pt idx="4">
                  <c:v>Isorysä2</c:v>
                </c:pt>
                <c:pt idx="5">
                  <c:v>PU-rysä1</c:v>
                </c:pt>
                <c:pt idx="6">
                  <c:v>PU-rysä2</c:v>
                </c:pt>
              </c:strCache>
            </c:strRef>
          </c:cat>
          <c:val>
            <c:numRef>
              <c:f>'8 Taloudellinen tulos'!$AF$13:$AL$13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A07-4462-8131-E40414024FAA}"/>
            </c:ext>
          </c:extLst>
        </c:ser>
        <c:dLbls>
          <c:showLegendKey val="0"/>
          <c:showVal val="0"/>
          <c:showCatName val="0"/>
          <c:showSerName val="0"/>
          <c:showPercent val="0"/>
          <c:showBubbleSize val="0"/>
        </c:dLbls>
        <c:gapWidth val="150"/>
        <c:axId val="42813696"/>
        <c:axId val="42823680"/>
      </c:barChart>
      <c:catAx>
        <c:axId val="42813696"/>
        <c:scaling>
          <c:orientation val="minMax"/>
        </c:scaling>
        <c:delete val="0"/>
        <c:axPos val="b"/>
        <c:numFmt formatCode="General" sourceLinked="1"/>
        <c:majorTickMark val="none"/>
        <c:minorTickMark val="none"/>
        <c:tickLblPos val="nextTo"/>
        <c:spPr>
          <a:ln w="254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fi-FI"/>
          </a:p>
        </c:txPr>
        <c:crossAx val="42823680"/>
        <c:crosses val="autoZero"/>
        <c:auto val="1"/>
        <c:lblAlgn val="ctr"/>
        <c:lblOffset val="100"/>
        <c:tickLblSkip val="1"/>
        <c:tickMarkSkip val="1"/>
        <c:noMultiLvlLbl val="0"/>
      </c:catAx>
      <c:valAx>
        <c:axId val="42823680"/>
        <c:scaling>
          <c:orientation val="minMax"/>
        </c:scaling>
        <c:delete val="0"/>
        <c:axPos val="l"/>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fi-FI"/>
                  <a:t>%  tuotoista</a:t>
                </a:r>
              </a:p>
            </c:rich>
          </c:tx>
          <c:layout>
            <c:manualLayout>
              <c:xMode val="edge"/>
              <c:yMode val="edge"/>
              <c:x val="1.9962718436918089E-2"/>
              <c:y val="0.32280026246719767"/>
            </c:manualLayout>
          </c:layout>
          <c:overlay val="0"/>
        </c:title>
        <c:numFmt formatCode="0" sourceLinked="1"/>
        <c:majorTickMark val="none"/>
        <c:minorTickMark val="none"/>
        <c:tickLblPos val="nextTo"/>
        <c:spPr>
          <a:ln w="254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fi-FI"/>
          </a:p>
        </c:txPr>
        <c:crossAx val="42813696"/>
        <c:crosses val="autoZero"/>
        <c:crossBetween val="between"/>
      </c:valAx>
      <c:spPr>
        <a:solidFill>
          <a:srgbClr val="CCFFFF"/>
        </a:solidFill>
        <a:ln w="12700">
          <a:solidFill>
            <a:srgbClr val="808080"/>
          </a:solidFill>
          <a:prstDash val="solid"/>
        </a:ln>
      </c:spPr>
    </c:plotArea>
    <c:plotVisOnly val="1"/>
    <c:dispBlanksAs val="gap"/>
    <c:showDLblsOverMax val="0"/>
  </c:chart>
  <c:spPr>
    <a:solidFill>
      <a:srgbClr val="33CCCC"/>
    </a:solidFill>
    <a:ln w="9525">
      <a:noFill/>
    </a:ln>
  </c:spPr>
  <c:txPr>
    <a:bodyPr/>
    <a:lstStyle/>
    <a:p>
      <a:pPr>
        <a:defRPr sz="1200" b="0"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Kalan myyntituottojen muutos</a:t>
            </a:r>
          </a:p>
        </c:rich>
      </c:tx>
      <c:layout>
        <c:manualLayout>
          <c:xMode val="edge"/>
          <c:yMode val="edge"/>
          <c:x val="0.35465544363064438"/>
          <c:y val="3.1602712556858793E-2"/>
        </c:manualLayout>
      </c:layout>
      <c:overlay val="0"/>
      <c:spPr>
        <a:noFill/>
        <a:ln w="25400">
          <a:noFill/>
        </a:ln>
      </c:spPr>
    </c:title>
    <c:autoTitleDeleted val="0"/>
    <c:plotArea>
      <c:layout>
        <c:manualLayout>
          <c:layoutTarget val="inner"/>
          <c:xMode val="edge"/>
          <c:yMode val="edge"/>
          <c:x val="0.12782453320051293"/>
          <c:y val="0.14602457129287869"/>
          <c:w val="0.74695946880673669"/>
          <c:h val="0.65108232728180215"/>
        </c:manualLayout>
      </c:layout>
      <c:barChart>
        <c:barDir val="col"/>
        <c:grouping val="stacked"/>
        <c:varyColors val="0"/>
        <c:ser>
          <c:idx val="3"/>
          <c:order val="0"/>
          <c:tx>
            <c:strRef>
              <c:f>'9 Simulointi'!$CW$8</c:f>
              <c:strCache>
                <c:ptCount val="1"/>
                <c:pt idx="0">
                  <c:v>Silakka</c:v>
                </c:pt>
              </c:strCache>
            </c:strRef>
          </c:tx>
          <c:spPr>
            <a:solidFill>
              <a:srgbClr val="CCFFFF"/>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Simulointi'!$CX$8:$CZ$8,'9 Simulointi'!$DB$8:$DD$8,'9 Simulointi'!$DF$8:$DH$8,'9 Simulointi'!$DJ$8:$DL$8,'9 Simulointi'!$DN$8:$DP$8,'9 Simulointi'!$DR$8:$DT$8,'9 Simulointi'!$DV$8:$DX$8)</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16E-4BD5-AEE7-667E8DEB290A}"/>
            </c:ext>
          </c:extLst>
        </c:ser>
        <c:ser>
          <c:idx val="4"/>
          <c:order val="1"/>
          <c:tx>
            <c:strRef>
              <c:f>'9 Simulointi'!$CW$9</c:f>
              <c:strCache>
                <c:ptCount val="1"/>
                <c:pt idx="0">
                  <c:v>Muikku</c:v>
                </c:pt>
              </c:strCache>
            </c:strRef>
          </c:tx>
          <c:spPr>
            <a:solidFill>
              <a:srgbClr val="660066"/>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Simulointi'!$CX$9:$CZ$9,'9 Simulointi'!$DB$9:$DD$9,'9 Simulointi'!$DF$9:$DH$9,'9 Simulointi'!$DJ$9:$DL$9,'9 Simulointi'!$DN$9:$DP$9,'9 Simulointi'!$DR$9:$DT$9,'9 Simulointi'!$DV$9:$DX$9)</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16E-4BD5-AEE7-667E8DEB290A}"/>
            </c:ext>
          </c:extLst>
        </c:ser>
        <c:ser>
          <c:idx val="5"/>
          <c:order val="2"/>
          <c:tx>
            <c:strRef>
              <c:f>'9 Simulointi'!$CW$10</c:f>
              <c:strCache>
                <c:ptCount val="1"/>
                <c:pt idx="0">
                  <c:v>Kuha</c:v>
                </c:pt>
              </c:strCache>
            </c:strRef>
          </c:tx>
          <c:spPr>
            <a:solidFill>
              <a:srgbClr val="FF8080"/>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Simulointi'!$CX$10:$CZ$10,'9 Simulointi'!$DB$10:$DD$10,'9 Simulointi'!$DF$10:$DH$10,'9 Simulointi'!$DJ$10:$DL$10,'9 Simulointi'!$DN$10:$DP$10,'9 Simulointi'!$DR$10:$DT$10,'9 Simulointi'!$DV$10:$DX$10)</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416E-4BD5-AEE7-667E8DEB290A}"/>
            </c:ext>
          </c:extLst>
        </c:ser>
        <c:ser>
          <c:idx val="6"/>
          <c:order val="3"/>
          <c:tx>
            <c:strRef>
              <c:f>'9 Simulointi'!$CW$11</c:f>
              <c:strCache>
                <c:ptCount val="1"/>
                <c:pt idx="0">
                  <c:v>Ahven</c:v>
                </c:pt>
              </c:strCache>
            </c:strRef>
          </c:tx>
          <c:spPr>
            <a:solidFill>
              <a:srgbClr val="0066CC"/>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Simulointi'!$CX$11:$CZ$11,'9 Simulointi'!$DB$11:$DD$11,'9 Simulointi'!$DF$11:$DH$11,'9 Simulointi'!$DJ$11:$DL$11,'9 Simulointi'!$DN$11:$DP$11,'9 Simulointi'!$DR$11:$DT$11,'9 Simulointi'!$DV$11:$DX$11)</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416E-4BD5-AEE7-667E8DEB290A}"/>
            </c:ext>
          </c:extLst>
        </c:ser>
        <c:ser>
          <c:idx val="7"/>
          <c:order val="4"/>
          <c:tx>
            <c:strRef>
              <c:f>'9 Simulointi'!$CW$12</c:f>
              <c:strCache>
                <c:ptCount val="1"/>
                <c:pt idx="0">
                  <c:v>Siika</c:v>
                </c:pt>
              </c:strCache>
            </c:strRef>
          </c:tx>
          <c:spPr>
            <a:solidFill>
              <a:srgbClr val="CCCCFF"/>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Simulointi'!$CX$12:$CZ$12,'9 Simulointi'!$DB$12:$DD$12,'9 Simulointi'!$DF$12:$DH$12,'9 Simulointi'!$DJ$12:$DL$12,'9 Simulointi'!$DN$12:$DP$12,'9 Simulointi'!$DR$12:$DT$12,'9 Simulointi'!$DV$12:$DX$12)</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416E-4BD5-AEE7-667E8DEB290A}"/>
            </c:ext>
          </c:extLst>
        </c:ser>
        <c:ser>
          <c:idx val="8"/>
          <c:order val="5"/>
          <c:tx>
            <c:strRef>
              <c:f>'9 Simulointi'!$CW$13</c:f>
              <c:strCache>
                <c:ptCount val="1"/>
                <c:pt idx="0">
                  <c:v>Hauki</c:v>
                </c:pt>
              </c:strCache>
            </c:strRef>
          </c:tx>
          <c:spPr>
            <a:solidFill>
              <a:srgbClr val="000080"/>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Simulointi'!$CX$13:$CZ$13,'9 Simulointi'!$DB$13:$DD$13,'9 Simulointi'!$DF$13:$DH$13,'9 Simulointi'!$DJ$13:$DL$13,'9 Simulointi'!$DN$13:$DP$13,'9 Simulointi'!$DR$13:$DT$13,'9 Simulointi'!$DV$13:$DX$13)</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416E-4BD5-AEE7-667E8DEB290A}"/>
            </c:ext>
          </c:extLst>
        </c:ser>
        <c:ser>
          <c:idx val="9"/>
          <c:order val="6"/>
          <c:tx>
            <c:strRef>
              <c:f>'9 Simulointi'!$CW$14</c:f>
              <c:strCache>
                <c:ptCount val="1"/>
                <c:pt idx="0">
                  <c:v>Made</c:v>
                </c:pt>
              </c:strCache>
            </c:strRef>
          </c:tx>
          <c:spPr>
            <a:solidFill>
              <a:srgbClr val="FF00FF"/>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Simulointi'!$CX$14:$CZ$14,'9 Simulointi'!$DB$14:$DD$14,'9 Simulointi'!$DF$14:$DH$14,'9 Simulointi'!$DJ$14:$DL$14,'9 Simulointi'!$DN$14:$DP$14,'9 Simulointi'!$DR$14:$DT$14,'9 Simulointi'!$DV$14:$DX$14)</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416E-4BD5-AEE7-667E8DEB290A}"/>
            </c:ext>
          </c:extLst>
        </c:ser>
        <c:ser>
          <c:idx val="10"/>
          <c:order val="7"/>
          <c:tx>
            <c:strRef>
              <c:f>'9 Simulointi'!$CW$15</c:f>
              <c:strCache>
                <c:ptCount val="1"/>
                <c:pt idx="0">
                  <c:v>Lohi/taimen</c:v>
                </c:pt>
              </c:strCache>
            </c:strRef>
          </c:tx>
          <c:spPr>
            <a:solidFill>
              <a:srgbClr val="FFFF00"/>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Simulointi'!$CX$15:$CZ$15,'9 Simulointi'!$DB$15:$DD$15,'9 Simulointi'!$DF$15:$DH$15,'9 Simulointi'!$DJ$15:$DL$15,'9 Simulointi'!$DN$15:$DP$15,'9 Simulointi'!$DR$15:$DT$15,'9 Simulointi'!$DV$15:$DX$15)</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7-416E-4BD5-AEE7-667E8DEB290A}"/>
            </c:ext>
          </c:extLst>
        </c:ser>
        <c:ser>
          <c:idx val="11"/>
          <c:order val="8"/>
          <c:tx>
            <c:strRef>
              <c:f>'9 Simulointi'!$CW$16</c:f>
              <c:strCache>
                <c:ptCount val="1"/>
                <c:pt idx="0">
                  <c:v>Lahna</c:v>
                </c:pt>
              </c:strCache>
            </c:strRef>
          </c:tx>
          <c:spPr>
            <a:solidFill>
              <a:srgbClr val="00FFFF"/>
            </a:solidFill>
            <a:ln w="12700">
              <a:solidFill>
                <a:srgbClr val="000000"/>
              </a:solidFill>
              <a:prstDash val="solid"/>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Simulointi'!$CX$16:$CZ$16,'9 Simulointi'!$DB$16:$DD$16,'9 Simulointi'!$DF$16:$DH$16,'9 Simulointi'!$DJ$16:$DL$16,'9 Simulointi'!$DN$16:$DP$16,'9 Simulointi'!$DR$16:$DT$16,'9 Simulointi'!$DV$16:$DX$16)</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8-416E-4BD5-AEE7-667E8DEB290A}"/>
            </c:ext>
          </c:extLst>
        </c:ser>
        <c:ser>
          <c:idx val="0"/>
          <c:order val="9"/>
          <c:tx>
            <c:strRef>
              <c:f>'9 Simulointi'!$CW$17</c:f>
              <c:strCache>
                <c:ptCount val="1"/>
                <c:pt idx="0">
                  <c:v>Särki</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ysClr val="windowText" lastClr="000000"/>
              </a:solidFill>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Simulointi'!$CX$17:$CZ$17,'9 Simulointi'!$DB$17:$DD$17,'9 Simulointi'!$DF$17:$DH$17,'9 Simulointi'!$DJ$17:$DL$17,'9 Simulointi'!$DN$17:$DP$17,'9 Simulointi'!$DR$17:$DT$17,'9 Simulointi'!$DV$17:$DX$17)</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416E-4BD5-AEE7-667E8DEB290A}"/>
            </c:ext>
          </c:extLst>
        </c:ser>
        <c:ser>
          <c:idx val="1"/>
          <c:order val="10"/>
          <c:tx>
            <c:strRef>
              <c:f>'9 Simulointi'!$CW$18</c:f>
              <c:strCache>
                <c:ptCount val="1"/>
                <c:pt idx="0">
                  <c:v>Kuore</c:v>
                </c:pt>
              </c:strCache>
            </c:strRef>
          </c:tx>
          <c:spPr>
            <a:solidFill>
              <a:schemeClr val="accent6">
                <a:lumMod val="50000"/>
              </a:schemeClr>
            </a:solidFill>
            <a:ln>
              <a:solidFill>
                <a:sysClr val="windowText" lastClr="000000"/>
              </a:solidFill>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Simulointi'!$CX$18:$CZ$18,'9 Simulointi'!$DB$18:$DD$18,'9 Simulointi'!$DF$18:$DH$18,'9 Simulointi'!$DJ$18:$DL$18,'9 Simulointi'!$DN$18:$DP$18,'9 Simulointi'!$DR$18:$DT$18,'9 Simulointi'!$DV$18:$DX$18)</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416E-4BD5-AEE7-667E8DEB290A}"/>
            </c:ext>
          </c:extLst>
        </c:ser>
        <c:ser>
          <c:idx val="2"/>
          <c:order val="11"/>
          <c:tx>
            <c:strRef>
              <c:f>'9 Simulointi'!$CW$19</c:f>
              <c:strCache>
                <c:ptCount val="1"/>
                <c:pt idx="0">
                  <c:v>Muu kala</c:v>
                </c:pt>
              </c:strCache>
            </c:strRef>
          </c:tx>
          <c:spPr>
            <a:ln>
              <a:solidFill>
                <a:schemeClr val="tx1"/>
              </a:solidFill>
            </a:ln>
          </c:spPr>
          <c:invertIfNegative val="0"/>
          <c:cat>
            <c:strRef>
              <c:f>('9 Simulointi'!$CX$7:$CZ$7,'9 Simulointi'!$DB$7:$DD$7,'9 Simulointi'!$DF$7:$DH$7,'9 Simulointi'!$DJ$7:$DL$7,'9 Simulointi'!$DN$7:$DP$7,'9 Simulointi'!$DR$7:$DT$7,'9 Simulointi'!$DV$7:$DX$7)</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Simulointi'!$CX$19:$CZ$19,'9 Simulointi'!$DB$19:$DD$19,'9 Simulointi'!$DF$19:$DH$19,'9 Simulointi'!$DJ$19:$DL$19,'9 Simulointi'!$DN$19:$DP$19,'9 Simulointi'!$DR$19:$DT$19,'9 Simulointi'!$DV$19:$DX$19)</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416E-4BD5-AEE7-667E8DEB290A}"/>
            </c:ext>
          </c:extLst>
        </c:ser>
        <c:dLbls>
          <c:showLegendKey val="0"/>
          <c:showVal val="0"/>
          <c:showCatName val="0"/>
          <c:showSerName val="0"/>
          <c:showPercent val="0"/>
          <c:showBubbleSize val="0"/>
        </c:dLbls>
        <c:gapWidth val="150"/>
        <c:overlap val="100"/>
        <c:axId val="43419520"/>
        <c:axId val="43421056"/>
      </c:barChart>
      <c:catAx>
        <c:axId val="43419520"/>
        <c:scaling>
          <c:orientation val="minMax"/>
        </c:scaling>
        <c:delete val="0"/>
        <c:axPos val="b"/>
        <c:numFmt formatCode="General" sourceLinked="1"/>
        <c:majorTickMark val="out"/>
        <c:minorTickMark val="none"/>
        <c:tickLblPos val="nextTo"/>
        <c:spPr>
          <a:ln w="25400">
            <a:solidFill>
              <a:srgbClr val="000000"/>
            </a:solidFill>
            <a:prstDash val="solid"/>
          </a:ln>
        </c:spPr>
        <c:txPr>
          <a:bodyPr rot="-5400000" vert="horz"/>
          <a:lstStyle/>
          <a:p>
            <a:pPr>
              <a:defRPr sz="1150" b="1" i="0" u="none" strike="noStrike" baseline="0">
                <a:solidFill>
                  <a:srgbClr val="000000"/>
                </a:solidFill>
                <a:latin typeface="Arial"/>
                <a:ea typeface="Arial"/>
                <a:cs typeface="Arial"/>
              </a:defRPr>
            </a:pPr>
            <a:endParaRPr lang="fi-FI"/>
          </a:p>
        </c:txPr>
        <c:crossAx val="43421056"/>
        <c:crosses val="autoZero"/>
        <c:auto val="1"/>
        <c:lblAlgn val="ctr"/>
        <c:lblOffset val="100"/>
        <c:tickLblSkip val="1"/>
        <c:tickMarkSkip val="1"/>
        <c:noMultiLvlLbl val="0"/>
      </c:catAx>
      <c:valAx>
        <c:axId val="43421056"/>
        <c:scaling>
          <c:orientation val="minMax"/>
        </c:scaling>
        <c:delete val="0"/>
        <c:axPos val="l"/>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fi-FI"/>
                  <a:t>Myynnin arvo, €</a:t>
                </a:r>
              </a:p>
            </c:rich>
          </c:tx>
          <c:layout>
            <c:manualLayout>
              <c:xMode val="edge"/>
              <c:yMode val="edge"/>
              <c:x val="2.6140946845484715E-2"/>
              <c:y val="0.31235448510113312"/>
            </c:manualLayout>
          </c:layout>
          <c:overlay val="0"/>
          <c:spPr>
            <a:noFill/>
            <a:ln w="25400">
              <a:noFill/>
            </a:ln>
          </c:spPr>
        </c:title>
        <c:numFmt formatCode="#\ ##0_ ;[Red]\-#\ ##0\ " sourceLinked="1"/>
        <c:majorTickMark val="out"/>
        <c:minorTickMark val="none"/>
        <c:tickLblPos val="nextTo"/>
        <c:spPr>
          <a:ln w="25400">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fi-FI"/>
          </a:p>
        </c:txPr>
        <c:crossAx val="43419520"/>
        <c:crosses val="autoZero"/>
        <c:crossBetween val="between"/>
      </c:valAx>
      <c:spPr>
        <a:solidFill>
          <a:srgbClr val="CCFFFF"/>
        </a:solidFill>
        <a:ln w="12700">
          <a:solidFill>
            <a:srgbClr val="808080"/>
          </a:solidFill>
          <a:prstDash val="solid"/>
        </a:ln>
      </c:spPr>
    </c:plotArea>
    <c:legend>
      <c:legendPos val="r"/>
      <c:layout>
        <c:manualLayout>
          <c:xMode val="edge"/>
          <c:yMode val="edge"/>
          <c:x val="0.90127489674763228"/>
          <c:y val="0.1633897459650123"/>
          <c:w val="8.0115459383038545E-2"/>
          <c:h val="0.67520219474828091"/>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05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Kustannusten ja taloudellisen tuloksen muutos, €
</a:t>
            </a:r>
          </a:p>
        </c:rich>
      </c:tx>
      <c:layout>
        <c:manualLayout>
          <c:xMode val="edge"/>
          <c:yMode val="edge"/>
          <c:x val="0.28899082128450626"/>
          <c:y val="4.1976771930992814E-2"/>
        </c:manualLayout>
      </c:layout>
      <c:overlay val="0"/>
      <c:spPr>
        <a:noFill/>
        <a:ln w="25400">
          <a:noFill/>
        </a:ln>
      </c:spPr>
    </c:title>
    <c:autoTitleDeleted val="0"/>
    <c:plotArea>
      <c:layout>
        <c:manualLayout>
          <c:layoutTarget val="inner"/>
          <c:xMode val="edge"/>
          <c:yMode val="edge"/>
          <c:x val="0.11581605915220697"/>
          <c:y val="0.19572394888271141"/>
          <c:w val="0.7634302406356821"/>
          <c:h val="0.58278525966495198"/>
        </c:manualLayout>
      </c:layout>
      <c:barChart>
        <c:barDir val="col"/>
        <c:grouping val="stacked"/>
        <c:varyColors val="0"/>
        <c:ser>
          <c:idx val="4"/>
          <c:order val="0"/>
          <c:tx>
            <c:strRef>
              <c:f>'9 Simulointi'!$CW$27</c:f>
              <c:strCache>
                <c:ptCount val="1"/>
                <c:pt idx="0">
                  <c:v>Nettotulos </c:v>
                </c:pt>
              </c:strCache>
            </c:strRef>
          </c:tx>
          <c:spPr>
            <a:solidFill>
              <a:srgbClr val="FF0000"/>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Simulointi'!$CX$27:$CZ$27,'9 Simulointi'!$DB$27:$DD$27,'9 Simulointi'!$DF$27:$DH$27,'9 Simulointi'!$DJ$27:$DL$27,'9 Simulointi'!$DN$27:$DP$27,'9 Simulointi'!$DR$27:$DT$27,'9 Simulointi'!$DV$27:$DX$27)</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D8F-415C-B129-80725FB83B9B}"/>
            </c:ext>
          </c:extLst>
        </c:ser>
        <c:ser>
          <c:idx val="0"/>
          <c:order val="1"/>
          <c:tx>
            <c:strRef>
              <c:f>'9 Simulointi'!$CW$24</c:f>
              <c:strCache>
                <c:ptCount val="1"/>
                <c:pt idx="0">
                  <c:v>Muuttuvat kulut</c:v>
                </c:pt>
              </c:strCache>
            </c:strRef>
          </c:tx>
          <c:spPr>
            <a:solidFill>
              <a:srgbClr val="9999FF"/>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Simulointi'!$CX$24:$CZ$24,'9 Simulointi'!$DB$24:$DD$24,'9 Simulointi'!$DF$24:$DH$24,'9 Simulointi'!$DJ$24:$DL$24,'9 Simulointi'!$DN$24:$DP$24,'9 Simulointi'!$DR$24:$DT$24,'9 Simulointi'!$DV$24:$DX$24)</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DD8F-415C-B129-80725FB83B9B}"/>
            </c:ext>
          </c:extLst>
        </c:ser>
        <c:ser>
          <c:idx val="1"/>
          <c:order val="2"/>
          <c:tx>
            <c:strRef>
              <c:f>'9 Simulointi'!$CW$25</c:f>
              <c:strCache>
                <c:ptCount val="1"/>
                <c:pt idx="0">
                  <c:v>Kiinteät kulut</c:v>
                </c:pt>
              </c:strCache>
            </c:strRef>
          </c:tx>
          <c:spPr>
            <a:solidFill>
              <a:srgbClr val="993366"/>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Simulointi'!$CX$25:$CZ$25,'9 Simulointi'!$DB$25:$DD$25,'9 Simulointi'!$DF$25:$DH$25,'9 Simulointi'!$DJ$25:$DL$25,'9 Simulointi'!$DN$25:$DP$25,'9 Simulointi'!$DR$25:$DT$25,'9 Simulointi'!$DV$25:$DX$25)</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DD8F-415C-B129-80725FB83B9B}"/>
            </c:ext>
          </c:extLst>
        </c:ser>
        <c:ser>
          <c:idx val="2"/>
          <c:order val="3"/>
          <c:tx>
            <c:strRef>
              <c:f>'9 Simulointi'!$CW$26</c:f>
              <c:strCache>
                <c:ptCount val="1"/>
                <c:pt idx="0">
                  <c:v>Pääomakulut</c:v>
                </c:pt>
              </c:strCache>
            </c:strRef>
          </c:tx>
          <c:spPr>
            <a:solidFill>
              <a:srgbClr val="FFFFCC"/>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Simulointi'!$CX$26:$CZ$26,'9 Simulointi'!$DB$26:$DD$26,'9 Simulointi'!$DF$26:$DH$26,'9 Simulointi'!$DJ$26:$DL$26,'9 Simulointi'!$DN$26:$DP$26,'9 Simulointi'!$DR$26:$DT$26,'9 Simulointi'!$DV$26:$DX$26)</c:f>
              <c:numCache>
                <c:formatCode>#\ ##0_ ;[Red]\-#\ ##0\ </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3-DD8F-415C-B129-80725FB83B9B}"/>
            </c:ext>
          </c:extLst>
        </c:ser>
        <c:dLbls>
          <c:showLegendKey val="0"/>
          <c:showVal val="0"/>
          <c:showCatName val="0"/>
          <c:showSerName val="0"/>
          <c:showPercent val="0"/>
          <c:showBubbleSize val="0"/>
        </c:dLbls>
        <c:gapWidth val="150"/>
        <c:overlap val="100"/>
        <c:axId val="43447808"/>
        <c:axId val="43449344"/>
      </c:barChart>
      <c:catAx>
        <c:axId val="43447808"/>
        <c:scaling>
          <c:orientation val="minMax"/>
        </c:scaling>
        <c:delete val="0"/>
        <c:axPos val="b"/>
        <c:numFmt formatCode="General" sourceLinked="1"/>
        <c:majorTickMark val="out"/>
        <c:minorTickMark val="none"/>
        <c:tickLblPos val="nextTo"/>
        <c:spPr>
          <a:ln w="25400">
            <a:solidFill>
              <a:srgbClr val="000000"/>
            </a:solidFill>
            <a:prstDash val="solid"/>
          </a:ln>
        </c:spPr>
        <c:txPr>
          <a:bodyPr rot="-5400000" vert="horz"/>
          <a:lstStyle/>
          <a:p>
            <a:pPr>
              <a:defRPr sz="1150" b="1" i="0" u="none" strike="noStrike" baseline="0">
                <a:solidFill>
                  <a:srgbClr val="000000"/>
                </a:solidFill>
                <a:latin typeface="Arial"/>
                <a:ea typeface="Arial"/>
                <a:cs typeface="Arial"/>
              </a:defRPr>
            </a:pPr>
            <a:endParaRPr lang="fi-FI"/>
          </a:p>
        </c:txPr>
        <c:crossAx val="43449344"/>
        <c:crosses val="autoZero"/>
        <c:auto val="1"/>
        <c:lblAlgn val="ctr"/>
        <c:lblOffset val="100"/>
        <c:tickLblSkip val="1"/>
        <c:tickMarkSkip val="1"/>
        <c:noMultiLvlLbl val="0"/>
      </c:catAx>
      <c:valAx>
        <c:axId val="43449344"/>
        <c:scaling>
          <c:orientation val="minMax"/>
        </c:scaling>
        <c:delete val="0"/>
        <c:axPos val="l"/>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fi-FI"/>
                  <a:t>Kustannukset ja tulos, €</a:t>
                </a:r>
              </a:p>
            </c:rich>
          </c:tx>
          <c:layout>
            <c:manualLayout>
              <c:xMode val="edge"/>
              <c:yMode val="edge"/>
              <c:x val="1.5193163198739808E-2"/>
              <c:y val="0.28638644270947206"/>
            </c:manualLayout>
          </c:layout>
          <c:overlay val="0"/>
          <c:spPr>
            <a:noFill/>
            <a:ln w="25400">
              <a:noFill/>
            </a:ln>
          </c:spPr>
        </c:title>
        <c:numFmt formatCode="#\ ##0_ ;[Red]\-#\ ##0\ " sourceLinked="1"/>
        <c:majorTickMark val="out"/>
        <c:minorTickMark val="none"/>
        <c:tickLblPos val="nextTo"/>
        <c:spPr>
          <a:ln w="25400">
            <a:solidFill>
              <a:srgbClr val="000000"/>
            </a:solidFill>
            <a:prstDash val="solid"/>
          </a:ln>
        </c:spPr>
        <c:txPr>
          <a:bodyPr rot="0" vert="horz"/>
          <a:lstStyle/>
          <a:p>
            <a:pPr>
              <a:defRPr sz="1150" b="1" i="0" u="none" strike="noStrike" baseline="0">
                <a:solidFill>
                  <a:srgbClr val="000000"/>
                </a:solidFill>
                <a:latin typeface="Arial"/>
                <a:ea typeface="Arial"/>
                <a:cs typeface="Arial"/>
              </a:defRPr>
            </a:pPr>
            <a:endParaRPr lang="fi-FI"/>
          </a:p>
        </c:txPr>
        <c:crossAx val="43447808"/>
        <c:crosses val="autoZero"/>
        <c:crossBetween val="between"/>
      </c:valAx>
      <c:spPr>
        <a:solidFill>
          <a:srgbClr val="CCFFFF"/>
        </a:solidFill>
        <a:ln w="12700">
          <a:solidFill>
            <a:srgbClr val="808080"/>
          </a:solidFill>
          <a:prstDash val="solid"/>
        </a:ln>
      </c:spPr>
    </c:plotArea>
    <c:legend>
      <c:legendPos val="r"/>
      <c:layout>
        <c:manualLayout>
          <c:xMode val="edge"/>
          <c:yMode val="edge"/>
          <c:x val="0.88398897768701601"/>
          <c:y val="0.38282232691316243"/>
          <c:w val="0.11174146872538693"/>
          <c:h val="0.28630742510252088"/>
        </c:manualLayout>
      </c:layout>
      <c:overlay val="0"/>
      <c:spPr>
        <a:solidFill>
          <a:srgbClr val="33CCCC"/>
        </a:solidFill>
        <a:ln w="25400">
          <a:noFill/>
        </a:ln>
      </c:spPr>
      <c:txPr>
        <a:bodyPr/>
        <a:lstStyle/>
        <a:p>
          <a:pPr>
            <a:defRPr sz="11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50" b="0"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i-FI"/>
              <a:t>Myyntituottojen ja kannattavuuden muutos, %</a:t>
            </a:r>
          </a:p>
        </c:rich>
      </c:tx>
      <c:layout>
        <c:manualLayout>
          <c:xMode val="edge"/>
          <c:yMode val="edge"/>
          <c:x val="0.28166757210211568"/>
          <c:y val="2.5227594923736468E-2"/>
        </c:manualLayout>
      </c:layout>
      <c:overlay val="0"/>
      <c:spPr>
        <a:noFill/>
        <a:ln w="25400">
          <a:noFill/>
        </a:ln>
      </c:spPr>
    </c:title>
    <c:autoTitleDeleted val="0"/>
    <c:plotArea>
      <c:layout>
        <c:manualLayout>
          <c:layoutTarget val="inner"/>
          <c:xMode val="edge"/>
          <c:yMode val="edge"/>
          <c:x val="0.10569564764757768"/>
          <c:y val="0.164824902103442"/>
          <c:w val="0.77948504429734022"/>
          <c:h val="0.73947211181253736"/>
        </c:manualLayout>
      </c:layout>
      <c:barChart>
        <c:barDir val="col"/>
        <c:grouping val="clustered"/>
        <c:varyColors val="0"/>
        <c:ser>
          <c:idx val="0"/>
          <c:order val="0"/>
          <c:tx>
            <c:strRef>
              <c:f>'9 Simulointi'!$CW$30</c:f>
              <c:strCache>
                <c:ptCount val="1"/>
                <c:pt idx="0">
                  <c:v>Myyntituotot</c:v>
                </c:pt>
              </c:strCache>
            </c:strRef>
          </c:tx>
          <c:spPr>
            <a:solidFill>
              <a:srgbClr val="9999FF"/>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Simulointi'!$DA$30,'9 Simulointi'!$DE$30,'9 Simulointi'!$DI$30,'9 Simulointi'!$DM$30,'9 Simulointi'!$DQ$30,'9 Simulointi'!$DU$30,'9 Simulointi'!$DY$30)</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AFD-4D48-ABC0-DBD4AACA04C9}"/>
            </c:ext>
          </c:extLst>
        </c:ser>
        <c:ser>
          <c:idx val="1"/>
          <c:order val="1"/>
          <c:tx>
            <c:strRef>
              <c:f>'9 Simulointi'!$CW$31</c:f>
              <c:strCache>
                <c:ptCount val="1"/>
                <c:pt idx="0">
                  <c:v>Käyttökate</c:v>
                </c:pt>
              </c:strCache>
            </c:strRef>
          </c:tx>
          <c:spPr>
            <a:solidFill>
              <a:srgbClr val="993366"/>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Simulointi'!$DA$31,'9 Simulointi'!$DE$31,'9 Simulointi'!$DI$31,'9 Simulointi'!$DM$31,'9 Simulointi'!$DQ$31,'9 Simulointi'!$DU$31,'9 Simulointi'!$DY$31)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AFD-4D48-ABC0-DBD4AACA04C9}"/>
            </c:ext>
          </c:extLst>
        </c:ser>
        <c:ser>
          <c:idx val="2"/>
          <c:order val="2"/>
          <c:tx>
            <c:strRef>
              <c:f>'9 Simulointi'!$CW$32</c:f>
              <c:strCache>
                <c:ptCount val="1"/>
                <c:pt idx="0">
                  <c:v>Nettotulos </c:v>
                </c:pt>
              </c:strCache>
            </c:strRef>
          </c:tx>
          <c:spPr>
            <a:solidFill>
              <a:srgbClr val="FF0000"/>
            </a:solidFill>
            <a:ln w="12700">
              <a:solidFill>
                <a:srgbClr val="000000"/>
              </a:solidFill>
              <a:prstDash val="solid"/>
            </a:ln>
          </c:spPr>
          <c:invertIfNegative val="0"/>
          <c:cat>
            <c:strRef>
              <c:f>('9 Simulointi'!$CX$23:$CZ$23,'9 Simulointi'!$DB$23:$DD$23,'9 Simulointi'!$DF$23:$DH$23,'9 Simulointi'!$DJ$23:$DL$23,'9 Simulointi'!$DN$23:$DP$23,'9 Simulointi'!$DR$23:$DT$23,'9 Simulointi'!$DV$23:$DX$23)</c:f>
              <c:strCache>
                <c:ptCount val="21"/>
                <c:pt idx="0">
                  <c:v>Nyt</c:v>
                </c:pt>
                <c:pt idx="1">
                  <c:v>Simuloitu</c:v>
                </c:pt>
                <c:pt idx="2">
                  <c:v>Muutos</c:v>
                </c:pt>
                <c:pt idx="3">
                  <c:v>Nyt</c:v>
                </c:pt>
                <c:pt idx="4">
                  <c:v>Simuloitu</c:v>
                </c:pt>
                <c:pt idx="5">
                  <c:v>Muutos</c:v>
                </c:pt>
                <c:pt idx="6">
                  <c:v>Nyt</c:v>
                </c:pt>
                <c:pt idx="7">
                  <c:v>Simuloitu</c:v>
                </c:pt>
                <c:pt idx="8">
                  <c:v>Muutos</c:v>
                </c:pt>
                <c:pt idx="9">
                  <c:v>Nyt</c:v>
                </c:pt>
                <c:pt idx="10">
                  <c:v>Simuloitu</c:v>
                </c:pt>
                <c:pt idx="11">
                  <c:v>Muutos</c:v>
                </c:pt>
                <c:pt idx="12">
                  <c:v>Nyt</c:v>
                </c:pt>
                <c:pt idx="13">
                  <c:v>Simuloitu</c:v>
                </c:pt>
                <c:pt idx="14">
                  <c:v>Muutos</c:v>
                </c:pt>
                <c:pt idx="15">
                  <c:v>Nyt</c:v>
                </c:pt>
                <c:pt idx="16">
                  <c:v>Simuloitu</c:v>
                </c:pt>
                <c:pt idx="17">
                  <c:v>Muutos</c:v>
                </c:pt>
                <c:pt idx="18">
                  <c:v>Nyt</c:v>
                </c:pt>
                <c:pt idx="19">
                  <c:v>Simuloitu</c:v>
                </c:pt>
                <c:pt idx="20">
                  <c:v>Muutos</c:v>
                </c:pt>
              </c:strCache>
            </c:strRef>
          </c:cat>
          <c:val>
            <c:numRef>
              <c:f>('9 Simulointi'!$DA$32,'9 Simulointi'!$DE$32,'9 Simulointi'!$DI$32,'9 Simulointi'!$DM$32,'9 Simulointi'!$DQ$32,'9 Simulointi'!$DU$32,'9 Simulointi'!$DY$32)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BAFD-4D48-ABC0-DBD4AACA04C9}"/>
            </c:ext>
          </c:extLst>
        </c:ser>
        <c:dLbls>
          <c:showLegendKey val="0"/>
          <c:showVal val="0"/>
          <c:showCatName val="0"/>
          <c:showSerName val="0"/>
          <c:showPercent val="0"/>
          <c:showBubbleSize val="0"/>
        </c:dLbls>
        <c:gapWidth val="150"/>
        <c:axId val="43482112"/>
        <c:axId val="43512576"/>
      </c:barChart>
      <c:catAx>
        <c:axId val="43482112"/>
        <c:scaling>
          <c:orientation val="minMax"/>
        </c:scaling>
        <c:delete val="0"/>
        <c:axPos val="b"/>
        <c:numFmt formatCode="General" sourceLinked="0"/>
        <c:majorTickMark val="out"/>
        <c:minorTickMark val="none"/>
        <c:tickLblPos val="none"/>
        <c:spPr>
          <a:ln w="25400">
            <a:solidFill>
              <a:srgbClr val="000000"/>
            </a:solidFill>
            <a:prstDash val="solid"/>
          </a:ln>
        </c:spPr>
        <c:crossAx val="43512576"/>
        <c:crosses val="autoZero"/>
        <c:auto val="1"/>
        <c:lblAlgn val="ctr"/>
        <c:lblOffset val="100"/>
        <c:tickLblSkip val="1"/>
        <c:tickMarkSkip val="1"/>
        <c:noMultiLvlLbl val="0"/>
      </c:catAx>
      <c:valAx>
        <c:axId val="43512576"/>
        <c:scaling>
          <c:orientation val="minMax"/>
        </c:scaling>
        <c:delete val="0"/>
        <c:axPos val="l"/>
        <c:majorGridlines>
          <c:spPr>
            <a:ln w="3175">
              <a:solidFill>
                <a:srgbClr val="000000"/>
              </a:solidFill>
              <a:prstDash val="sysDash"/>
            </a:ln>
          </c:spPr>
        </c:majorGridlines>
        <c:title>
          <c:tx>
            <c:rich>
              <a:bodyPr/>
              <a:lstStyle/>
              <a:p>
                <a:pPr>
                  <a:defRPr sz="1400" b="1" i="0" u="none" strike="noStrike" baseline="0">
                    <a:solidFill>
                      <a:srgbClr val="000000"/>
                    </a:solidFill>
                    <a:latin typeface="Arial"/>
                    <a:ea typeface="Arial"/>
                    <a:cs typeface="Arial"/>
                  </a:defRPr>
                </a:pPr>
                <a:r>
                  <a:rPr lang="fi-FI"/>
                  <a:t>Muutos, %</a:t>
                </a:r>
              </a:p>
            </c:rich>
          </c:tx>
          <c:layout>
            <c:manualLayout>
              <c:xMode val="edge"/>
              <c:yMode val="edge"/>
              <c:x val="1.5679885742304531E-2"/>
              <c:y val="0.40650538026152283"/>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fi-FI"/>
          </a:p>
        </c:txPr>
        <c:crossAx val="43482112"/>
        <c:crosses val="autoZero"/>
        <c:crossBetween val="between"/>
      </c:valAx>
      <c:spPr>
        <a:solidFill>
          <a:srgbClr val="CCFFFF"/>
        </a:solidFill>
        <a:ln w="12700">
          <a:solidFill>
            <a:srgbClr val="808080"/>
          </a:solidFill>
          <a:prstDash val="solid"/>
        </a:ln>
      </c:spPr>
    </c:plotArea>
    <c:legend>
      <c:legendPos val="r"/>
      <c:layout>
        <c:manualLayout>
          <c:xMode val="edge"/>
          <c:yMode val="edge"/>
          <c:x val="0.88610974750351934"/>
          <c:y val="0.32653651482286083"/>
          <c:w val="0.10241683629945195"/>
          <c:h val="0.32619969141601352"/>
        </c:manualLayout>
      </c:layout>
      <c:overlay val="0"/>
      <c:spPr>
        <a:solidFill>
          <a:srgbClr val="33CCCC"/>
        </a:solidFill>
        <a:ln w="25400">
          <a:noFill/>
        </a:ln>
      </c:spPr>
      <c:txPr>
        <a:bodyPr/>
        <a:lstStyle/>
        <a:p>
          <a:pPr>
            <a:defRPr sz="11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5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22142856525141938"/>
          <c:y val="3.1088010550406043E-2"/>
        </c:manualLayout>
      </c:layout>
      <c:overlay val="0"/>
      <c:spPr>
        <a:noFill/>
        <a:ln w="25400">
          <a:noFill/>
        </a:ln>
      </c:spPr>
    </c:title>
    <c:autoTitleDeleted val="0"/>
    <c:plotArea>
      <c:layout>
        <c:manualLayout>
          <c:layoutTarget val="inner"/>
          <c:xMode val="edge"/>
          <c:yMode val="edge"/>
          <c:x val="0.1756553249930296"/>
          <c:y val="0.14392814308807492"/>
          <c:w val="0.52857142857142869"/>
          <c:h val="0.67875647668396621"/>
        </c:manualLayout>
      </c:layout>
      <c:barChart>
        <c:barDir val="col"/>
        <c:grouping val="stacked"/>
        <c:varyColors val="0"/>
        <c:ser>
          <c:idx val="0"/>
          <c:order val="0"/>
          <c:tx>
            <c:strRef>
              <c:f>'3 Saalis'!$T$164</c:f>
              <c:strCache>
                <c:ptCount val="1"/>
                <c:pt idx="0">
                  <c:v>Muikku</c:v>
                </c:pt>
              </c:strCache>
            </c:strRef>
          </c:tx>
          <c:spPr>
            <a:solidFill>
              <a:srgbClr val="9999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Saalis'!$W$164:$AH$164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14-4D90-A416-FB60FBDC742F}"/>
            </c:ext>
          </c:extLst>
        </c:ser>
        <c:ser>
          <c:idx val="1"/>
          <c:order val="1"/>
          <c:tx>
            <c:strRef>
              <c:f>'3 Saalis'!$T$165</c:f>
              <c:strCache>
                <c:ptCount val="1"/>
                <c:pt idx="0">
                  <c:v>Kuha</c:v>
                </c:pt>
              </c:strCache>
            </c:strRef>
          </c:tx>
          <c:spPr>
            <a:solidFill>
              <a:srgbClr val="993366"/>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Saalis'!$W$165:$AH$165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D14-4D90-A416-FB60FBDC742F}"/>
            </c:ext>
          </c:extLst>
        </c:ser>
        <c:ser>
          <c:idx val="2"/>
          <c:order val="2"/>
          <c:tx>
            <c:strRef>
              <c:f>'3 Saalis'!$T$166</c:f>
              <c:strCache>
                <c:ptCount val="1"/>
                <c:pt idx="0">
                  <c:v>Ahven</c:v>
                </c:pt>
              </c:strCache>
            </c:strRef>
          </c:tx>
          <c:spPr>
            <a:solidFill>
              <a:srgbClr val="FFFFCC"/>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Saalis'!$W$166:$AH$166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D14-4D90-A416-FB60FBDC742F}"/>
            </c:ext>
          </c:extLst>
        </c:ser>
        <c:ser>
          <c:idx val="3"/>
          <c:order val="3"/>
          <c:tx>
            <c:strRef>
              <c:f>'3 Saalis'!$T$167</c:f>
              <c:strCache>
                <c:ptCount val="1"/>
                <c:pt idx="0">
                  <c:v>Siika</c:v>
                </c:pt>
              </c:strCache>
            </c:strRef>
          </c:tx>
          <c:spPr>
            <a:solidFill>
              <a:srgbClr val="CCFF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Saalis'!$W$167:$AH$167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8D14-4D90-A416-FB60FBDC742F}"/>
            </c:ext>
          </c:extLst>
        </c:ser>
        <c:ser>
          <c:idx val="4"/>
          <c:order val="4"/>
          <c:tx>
            <c:strRef>
              <c:f>'3 Saalis'!$T$168</c:f>
              <c:strCache>
                <c:ptCount val="1"/>
                <c:pt idx="0">
                  <c:v>Hauki</c:v>
                </c:pt>
              </c:strCache>
            </c:strRef>
          </c:tx>
          <c:spPr>
            <a:solidFill>
              <a:srgbClr val="660066"/>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Saalis'!$W$168:$AH$168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8D14-4D90-A416-FB60FBDC742F}"/>
            </c:ext>
          </c:extLst>
        </c:ser>
        <c:ser>
          <c:idx val="5"/>
          <c:order val="5"/>
          <c:tx>
            <c:strRef>
              <c:f>'3 Saalis'!$T$169</c:f>
              <c:strCache>
                <c:ptCount val="1"/>
                <c:pt idx="0">
                  <c:v>Made</c:v>
                </c:pt>
              </c:strCache>
            </c:strRef>
          </c:tx>
          <c:spPr>
            <a:solidFill>
              <a:srgbClr val="FF8080"/>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Saalis'!$W$169:$AH$169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8D14-4D90-A416-FB60FBDC742F}"/>
            </c:ext>
          </c:extLst>
        </c:ser>
        <c:ser>
          <c:idx val="6"/>
          <c:order val="6"/>
          <c:tx>
            <c:strRef>
              <c:f>'3 Saalis'!$T$170</c:f>
              <c:strCache>
                <c:ptCount val="1"/>
                <c:pt idx="0">
                  <c:v>Lohi/taimen</c:v>
                </c:pt>
              </c:strCache>
            </c:strRef>
          </c:tx>
          <c:spPr>
            <a:solidFill>
              <a:srgbClr val="0066CC"/>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Saalis'!$W$170:$AH$170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8D14-4D90-A416-FB60FBDC742F}"/>
            </c:ext>
          </c:extLst>
        </c:ser>
        <c:ser>
          <c:idx val="7"/>
          <c:order val="7"/>
          <c:tx>
            <c:strRef>
              <c:f>'3 Saalis'!$T$171</c:f>
              <c:strCache>
                <c:ptCount val="1"/>
                <c:pt idx="0">
                  <c:v>Lahna</c:v>
                </c:pt>
              </c:strCache>
            </c:strRef>
          </c:tx>
          <c:spPr>
            <a:solidFill>
              <a:srgbClr val="CCCC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Saalis'!$W$171:$AH$171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8D14-4D90-A416-FB60FBDC742F}"/>
            </c:ext>
          </c:extLst>
        </c:ser>
        <c:ser>
          <c:idx val="8"/>
          <c:order val="8"/>
          <c:tx>
            <c:strRef>
              <c:f>'3 Saalis'!$T$172</c:f>
              <c:strCache>
                <c:ptCount val="1"/>
                <c:pt idx="0">
                  <c:v>Särki</c:v>
                </c:pt>
              </c:strCache>
            </c:strRef>
          </c:tx>
          <c:spPr>
            <a:solidFill>
              <a:srgbClr val="000080"/>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Saalis'!$W$172:$AH$172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D14-4D90-A416-FB60FBDC742F}"/>
            </c:ext>
          </c:extLst>
        </c:ser>
        <c:ser>
          <c:idx val="9"/>
          <c:order val="9"/>
          <c:tx>
            <c:strRef>
              <c:f>'3 Saalis'!$T$173</c:f>
              <c:strCache>
                <c:ptCount val="1"/>
                <c:pt idx="0">
                  <c:v>Kuore</c:v>
                </c:pt>
              </c:strCache>
            </c:strRef>
          </c:tx>
          <c:spPr>
            <a:solidFill>
              <a:srgbClr val="FF00FF"/>
            </a:solidFill>
            <a:ln w="12700">
              <a:solidFill>
                <a:srgbClr val="000000"/>
              </a:solidFill>
              <a:prstDash val="solid"/>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Saalis'!$W$173:$AH$173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8D14-4D90-A416-FB60FBDC742F}"/>
            </c:ext>
          </c:extLst>
        </c:ser>
        <c:ser>
          <c:idx val="10"/>
          <c:order val="10"/>
          <c:tx>
            <c:strRef>
              <c:f>'3 Saalis'!$T$174</c:f>
              <c:strCache>
                <c:ptCount val="1"/>
                <c:pt idx="0">
                  <c:v>Muu kala</c:v>
                </c:pt>
              </c:strCache>
            </c:strRef>
          </c:tx>
          <c:spPr>
            <a:ln>
              <a:solidFill>
                <a:schemeClr val="tx1"/>
              </a:solidFill>
            </a:ln>
          </c:spPr>
          <c:invertIfNegative val="0"/>
          <c:cat>
            <c:numRef>
              <c:f>'3 Saalis'!$W$162:$AH$162</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Saalis'!$W$174:$AH$174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8D14-4D90-A416-FB60FBDC742F}"/>
            </c:ext>
          </c:extLst>
        </c:ser>
        <c:dLbls>
          <c:showLegendKey val="0"/>
          <c:showVal val="0"/>
          <c:showCatName val="0"/>
          <c:showSerName val="0"/>
          <c:showPercent val="0"/>
          <c:showBubbleSize val="0"/>
        </c:dLbls>
        <c:gapWidth val="50"/>
        <c:overlap val="100"/>
        <c:axId val="115500160"/>
        <c:axId val="115502080"/>
      </c:barChart>
      <c:catAx>
        <c:axId val="11550016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249996756996322"/>
              <c:y val="0.89637329816531552"/>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502080"/>
        <c:crosses val="autoZero"/>
        <c:auto val="1"/>
        <c:lblAlgn val="ctr"/>
        <c:lblOffset val="100"/>
        <c:tickLblSkip val="1"/>
        <c:tickMarkSkip val="1"/>
        <c:noMultiLvlLbl val="0"/>
      </c:catAx>
      <c:valAx>
        <c:axId val="115502080"/>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0357292653080646E-2"/>
              <c:y val="0.39119170448521517"/>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500160"/>
        <c:crosses val="autoZero"/>
        <c:crossBetween val="between"/>
      </c:valAx>
      <c:spPr>
        <a:solidFill>
          <a:srgbClr val="CCFFFF"/>
        </a:solidFill>
        <a:ln w="12700">
          <a:solidFill>
            <a:srgbClr val="CCFFFF"/>
          </a:solidFill>
          <a:prstDash val="solid"/>
        </a:ln>
      </c:spPr>
    </c:plotArea>
    <c:legend>
      <c:legendPos val="r"/>
      <c:layout>
        <c:manualLayout>
          <c:xMode val="edge"/>
          <c:yMode val="edge"/>
          <c:x val="0.73636940415426888"/>
          <c:y val="0.16911456432184388"/>
          <c:w val="0.17161272468618505"/>
          <c:h val="0.63153640277722978"/>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Silakkasaalis</a:t>
            </a:r>
          </a:p>
        </c:rich>
      </c:tx>
      <c:layout>
        <c:manualLayout>
          <c:xMode val="edge"/>
          <c:yMode val="edge"/>
          <c:x val="0.24377247106406791"/>
          <c:y val="3.5714341677439601E-2"/>
        </c:manualLayout>
      </c:layout>
      <c:overlay val="0"/>
      <c:spPr>
        <a:noFill/>
        <a:ln w="25400">
          <a:noFill/>
        </a:ln>
      </c:spPr>
    </c:title>
    <c:autoTitleDeleted val="0"/>
    <c:plotArea>
      <c:layout>
        <c:manualLayout>
          <c:layoutTarget val="inner"/>
          <c:xMode val="edge"/>
          <c:yMode val="edge"/>
          <c:x val="0.17120861833514248"/>
          <c:y val="0.15347222543517541"/>
          <c:w val="0.53736701492213057"/>
          <c:h val="0.65561224489795356"/>
        </c:manualLayout>
      </c:layout>
      <c:barChart>
        <c:barDir val="col"/>
        <c:grouping val="clustered"/>
        <c:varyColors val="0"/>
        <c:ser>
          <c:idx val="0"/>
          <c:order val="0"/>
          <c:tx>
            <c:strRef>
              <c:f>'3 Saalis'!$T$75</c:f>
              <c:strCache>
                <c:ptCount val="1"/>
                <c:pt idx="0">
                  <c:v>Silakka</c:v>
                </c:pt>
              </c:strCache>
            </c:strRef>
          </c:tx>
          <c:spPr>
            <a:solidFill>
              <a:srgbClr val="9999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Saalis'!$W$75:$AH$75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D3-4EED-B880-77B683621CFF}"/>
            </c:ext>
          </c:extLst>
        </c:ser>
        <c:dLbls>
          <c:showLegendKey val="0"/>
          <c:showVal val="0"/>
          <c:showCatName val="0"/>
          <c:showSerName val="0"/>
          <c:showPercent val="0"/>
          <c:showBubbleSize val="0"/>
        </c:dLbls>
        <c:gapWidth val="50"/>
        <c:axId val="115444736"/>
        <c:axId val="115463296"/>
      </c:barChart>
      <c:catAx>
        <c:axId val="11544473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8078327094359132"/>
              <c:y val="0.8979592849401286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463296"/>
        <c:crosses val="autoZero"/>
        <c:auto val="1"/>
        <c:lblAlgn val="ctr"/>
        <c:lblOffset val="100"/>
        <c:tickLblSkip val="1"/>
        <c:tickMarkSkip val="1"/>
        <c:noMultiLvlLbl val="0"/>
      </c:catAx>
      <c:valAx>
        <c:axId val="115463296"/>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2.6690417796136182E-2"/>
              <c:y val="0.41581619461747366"/>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444736"/>
        <c:crosses val="autoZero"/>
        <c:crossBetween val="between"/>
      </c:valAx>
      <c:spPr>
        <a:solidFill>
          <a:srgbClr val="CCFFFF"/>
        </a:solidFill>
        <a:ln w="12700">
          <a:solidFill>
            <a:srgbClr val="CCFFFF"/>
          </a:solidFill>
          <a:prstDash val="solid"/>
        </a:ln>
      </c:spPr>
    </c:plotArea>
    <c:legend>
      <c:legendPos val="r"/>
      <c:legendEntry>
        <c:idx val="0"/>
        <c:txPr>
          <a:bodyPr/>
          <a:lstStyle/>
          <a:p>
            <a:pPr>
              <a:defRPr sz="1100" b="1" i="0" u="none" strike="noStrike" baseline="0">
                <a:solidFill>
                  <a:srgbClr val="000000"/>
                </a:solidFill>
                <a:latin typeface="Arial"/>
                <a:ea typeface="Arial"/>
                <a:cs typeface="Arial"/>
              </a:defRPr>
            </a:pPr>
            <a:endParaRPr lang="fi-FI"/>
          </a:p>
        </c:txPr>
      </c:legendEntry>
      <c:layout>
        <c:manualLayout>
          <c:xMode val="edge"/>
          <c:yMode val="edge"/>
          <c:x val="0.78403786411944409"/>
          <c:y val="0.50255102440553134"/>
          <c:w val="0.17903532550234924"/>
          <c:h val="5.6122536921690433E-2"/>
        </c:manualLayout>
      </c:layout>
      <c:overlay val="0"/>
      <c:spPr>
        <a:solidFill>
          <a:srgbClr val="33CCCC"/>
        </a:solidFill>
        <a:ln w="25400">
          <a:noFill/>
        </a:ln>
      </c:spPr>
      <c:txPr>
        <a:bodyPr/>
        <a:lstStyle/>
        <a:p>
          <a:pPr>
            <a:defRPr sz="110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fi-FI"/>
              <a:t>Muun kalan saalis</a:t>
            </a:r>
          </a:p>
        </c:rich>
      </c:tx>
      <c:layout>
        <c:manualLayout>
          <c:xMode val="edge"/>
          <c:yMode val="edge"/>
          <c:x val="0.22281657415773848"/>
          <c:y val="3.092747069982589E-2"/>
        </c:manualLayout>
      </c:layout>
      <c:overlay val="0"/>
      <c:spPr>
        <a:noFill/>
        <a:ln w="25400">
          <a:noFill/>
        </a:ln>
      </c:spPr>
    </c:title>
    <c:autoTitleDeleted val="0"/>
    <c:plotArea>
      <c:layout>
        <c:manualLayout>
          <c:layoutTarget val="inner"/>
          <c:xMode val="edge"/>
          <c:yMode val="edge"/>
          <c:x val="0.16399315534681971"/>
          <c:y val="0.1211341730606883"/>
          <c:w val="0.5276301519854194"/>
          <c:h val="0.69329984156010382"/>
        </c:manualLayout>
      </c:layout>
      <c:barChart>
        <c:barDir val="col"/>
        <c:grouping val="stacked"/>
        <c:varyColors val="0"/>
        <c:ser>
          <c:idx val="0"/>
          <c:order val="0"/>
          <c:tx>
            <c:strRef>
              <c:f>'3 Saalis'!$T$76</c:f>
              <c:strCache>
                <c:ptCount val="1"/>
                <c:pt idx="0">
                  <c:v>Muikku</c:v>
                </c:pt>
              </c:strCache>
            </c:strRef>
          </c:tx>
          <c:spPr>
            <a:solidFill>
              <a:srgbClr val="9999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Saalis'!$W$76:$AH$76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D30-4B9F-BDE2-8EC5687C164F}"/>
            </c:ext>
          </c:extLst>
        </c:ser>
        <c:ser>
          <c:idx val="1"/>
          <c:order val="1"/>
          <c:tx>
            <c:strRef>
              <c:f>'3 Saalis'!$T$77</c:f>
              <c:strCache>
                <c:ptCount val="1"/>
                <c:pt idx="0">
                  <c:v>Kuha</c:v>
                </c:pt>
              </c:strCache>
            </c:strRef>
          </c:tx>
          <c:spPr>
            <a:solidFill>
              <a:srgbClr val="993366"/>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Saalis'!$W$77:$AH$77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D30-4B9F-BDE2-8EC5687C164F}"/>
            </c:ext>
          </c:extLst>
        </c:ser>
        <c:ser>
          <c:idx val="2"/>
          <c:order val="2"/>
          <c:tx>
            <c:strRef>
              <c:f>'3 Saalis'!$T$78</c:f>
              <c:strCache>
                <c:ptCount val="1"/>
                <c:pt idx="0">
                  <c:v>Ahven</c:v>
                </c:pt>
              </c:strCache>
            </c:strRef>
          </c:tx>
          <c:spPr>
            <a:solidFill>
              <a:srgbClr val="FFFFCC"/>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Saalis'!$W$78:$AH$78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0D30-4B9F-BDE2-8EC5687C164F}"/>
            </c:ext>
          </c:extLst>
        </c:ser>
        <c:ser>
          <c:idx val="3"/>
          <c:order val="3"/>
          <c:tx>
            <c:strRef>
              <c:f>'3 Saalis'!$T$79</c:f>
              <c:strCache>
                <c:ptCount val="1"/>
                <c:pt idx="0">
                  <c:v>Siika</c:v>
                </c:pt>
              </c:strCache>
            </c:strRef>
          </c:tx>
          <c:spPr>
            <a:solidFill>
              <a:srgbClr val="CCFF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Saalis'!$W$79:$AH$79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0D30-4B9F-BDE2-8EC5687C164F}"/>
            </c:ext>
          </c:extLst>
        </c:ser>
        <c:ser>
          <c:idx val="4"/>
          <c:order val="4"/>
          <c:tx>
            <c:strRef>
              <c:f>'3 Saalis'!$T$80</c:f>
              <c:strCache>
                <c:ptCount val="1"/>
                <c:pt idx="0">
                  <c:v>Hauki</c:v>
                </c:pt>
              </c:strCache>
            </c:strRef>
          </c:tx>
          <c:spPr>
            <a:solidFill>
              <a:srgbClr val="660066"/>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Saalis'!$W$80:$AH$80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0D30-4B9F-BDE2-8EC5687C164F}"/>
            </c:ext>
          </c:extLst>
        </c:ser>
        <c:ser>
          <c:idx val="5"/>
          <c:order val="5"/>
          <c:tx>
            <c:strRef>
              <c:f>'3 Saalis'!$T$81</c:f>
              <c:strCache>
                <c:ptCount val="1"/>
                <c:pt idx="0">
                  <c:v>Made</c:v>
                </c:pt>
              </c:strCache>
            </c:strRef>
          </c:tx>
          <c:spPr>
            <a:solidFill>
              <a:srgbClr val="FF8080"/>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Saalis'!$W$81:$AH$81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0D30-4B9F-BDE2-8EC5687C164F}"/>
            </c:ext>
          </c:extLst>
        </c:ser>
        <c:ser>
          <c:idx val="6"/>
          <c:order val="6"/>
          <c:tx>
            <c:strRef>
              <c:f>'3 Saalis'!$T$82</c:f>
              <c:strCache>
                <c:ptCount val="1"/>
                <c:pt idx="0">
                  <c:v>Lohi/taimen</c:v>
                </c:pt>
              </c:strCache>
            </c:strRef>
          </c:tx>
          <c:spPr>
            <a:solidFill>
              <a:srgbClr val="0066CC"/>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Saalis'!$W$82:$AH$82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0D30-4B9F-BDE2-8EC5687C164F}"/>
            </c:ext>
          </c:extLst>
        </c:ser>
        <c:ser>
          <c:idx val="7"/>
          <c:order val="7"/>
          <c:tx>
            <c:strRef>
              <c:f>'3 Saalis'!$T$83</c:f>
              <c:strCache>
                <c:ptCount val="1"/>
                <c:pt idx="0">
                  <c:v>Lahna</c:v>
                </c:pt>
              </c:strCache>
            </c:strRef>
          </c:tx>
          <c:spPr>
            <a:solidFill>
              <a:srgbClr val="CCCC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Saalis'!$W$83:$AH$83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0D30-4B9F-BDE2-8EC5687C164F}"/>
            </c:ext>
          </c:extLst>
        </c:ser>
        <c:ser>
          <c:idx val="8"/>
          <c:order val="8"/>
          <c:tx>
            <c:strRef>
              <c:f>'3 Saalis'!$T$84</c:f>
              <c:strCache>
                <c:ptCount val="1"/>
                <c:pt idx="0">
                  <c:v>Särki</c:v>
                </c:pt>
              </c:strCache>
            </c:strRef>
          </c:tx>
          <c:spPr>
            <a:solidFill>
              <a:srgbClr val="000080"/>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Saalis'!$W$84:$AH$84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D30-4B9F-BDE2-8EC5687C164F}"/>
            </c:ext>
          </c:extLst>
        </c:ser>
        <c:ser>
          <c:idx val="9"/>
          <c:order val="9"/>
          <c:tx>
            <c:strRef>
              <c:f>'3 Saalis'!$T$85</c:f>
              <c:strCache>
                <c:ptCount val="1"/>
                <c:pt idx="0">
                  <c:v>Kuore</c:v>
                </c:pt>
              </c:strCache>
            </c:strRef>
          </c:tx>
          <c:spPr>
            <a:solidFill>
              <a:srgbClr val="FF00FF"/>
            </a:solidFill>
            <a:ln w="12700">
              <a:solidFill>
                <a:srgbClr val="000000"/>
              </a:solidFill>
              <a:prstDash val="solid"/>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Saalis'!$W$85:$AH$85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0D30-4B9F-BDE2-8EC5687C164F}"/>
            </c:ext>
          </c:extLst>
        </c:ser>
        <c:ser>
          <c:idx val="10"/>
          <c:order val="10"/>
          <c:tx>
            <c:strRef>
              <c:f>'3 Saalis'!$T$86</c:f>
              <c:strCache>
                <c:ptCount val="1"/>
                <c:pt idx="0">
                  <c:v>Muu kala</c:v>
                </c:pt>
              </c:strCache>
            </c:strRef>
          </c:tx>
          <c:spPr>
            <a:ln>
              <a:solidFill>
                <a:sysClr val="windowText" lastClr="000000"/>
              </a:solidFill>
            </a:ln>
          </c:spPr>
          <c:invertIfNegative val="0"/>
          <c:cat>
            <c:numRef>
              <c:f>'3 Saalis'!$W$74:$AH$74</c:f>
              <c:numCache>
                <c:formatCode>#,##0</c:formatCode>
                <c:ptCount val="12"/>
                <c:pt idx="0" formatCode="General">
                  <c:v>1</c:v>
                </c:pt>
                <c:pt idx="1">
                  <c:v>2</c:v>
                </c:pt>
                <c:pt idx="2">
                  <c:v>3</c:v>
                </c:pt>
                <c:pt idx="3">
                  <c:v>4</c:v>
                </c:pt>
                <c:pt idx="4">
                  <c:v>5</c:v>
                </c:pt>
                <c:pt idx="5">
                  <c:v>6</c:v>
                </c:pt>
                <c:pt idx="6">
                  <c:v>7</c:v>
                </c:pt>
                <c:pt idx="7">
                  <c:v>8</c:v>
                </c:pt>
                <c:pt idx="8">
                  <c:v>9</c:v>
                </c:pt>
                <c:pt idx="9">
                  <c:v>10</c:v>
                </c:pt>
                <c:pt idx="10">
                  <c:v>11</c:v>
                </c:pt>
                <c:pt idx="11">
                  <c:v>12</c:v>
                </c:pt>
              </c:numCache>
            </c:numRef>
          </c:cat>
          <c:val>
            <c:numRef>
              <c:f>'3 Saalis'!$W$86:$AH$86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0D30-4B9F-BDE2-8EC5687C164F}"/>
            </c:ext>
          </c:extLst>
        </c:ser>
        <c:dLbls>
          <c:showLegendKey val="0"/>
          <c:showVal val="0"/>
          <c:showCatName val="0"/>
          <c:showSerName val="0"/>
          <c:showPercent val="0"/>
          <c:showBubbleSize val="0"/>
        </c:dLbls>
        <c:gapWidth val="50"/>
        <c:overlap val="100"/>
        <c:axId val="115631616"/>
        <c:axId val="115633536"/>
      </c:barChart>
      <c:catAx>
        <c:axId val="11563161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i-FI"/>
                  <a:t>Kuukaudet</a:t>
                </a:r>
              </a:p>
            </c:rich>
          </c:tx>
          <c:layout>
            <c:manualLayout>
              <c:xMode val="edge"/>
              <c:yMode val="edge"/>
              <c:x val="0.3636371928918723"/>
              <c:y val="0.89433096852992156"/>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633536"/>
        <c:crosses val="autoZero"/>
        <c:auto val="1"/>
        <c:lblAlgn val="ctr"/>
        <c:lblOffset val="100"/>
        <c:tickLblSkip val="1"/>
        <c:tickMarkSkip val="1"/>
        <c:noMultiLvlLbl val="0"/>
      </c:catAx>
      <c:valAx>
        <c:axId val="115633536"/>
        <c:scaling>
          <c:orientation val="minMax"/>
        </c:scaling>
        <c:delete val="0"/>
        <c:axPos val="l"/>
        <c:majorGridlines>
          <c:spPr>
            <a:ln w="3175">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rPr lang="fi-FI"/>
                  <a:t>Saalis, kg</a:t>
                </a:r>
              </a:p>
            </c:rich>
          </c:tx>
          <c:layout>
            <c:manualLayout>
              <c:xMode val="edge"/>
              <c:yMode val="edge"/>
              <c:x val="3.2085710597651647E-2"/>
              <c:y val="0.38144434915933145"/>
            </c:manualLayout>
          </c:layout>
          <c:overlay val="0"/>
          <c:spPr>
            <a:noFill/>
            <a:ln w="25400">
              <a:noFill/>
            </a:ln>
          </c:spPr>
        </c:title>
        <c:numFmt formatCode="#,##0" sourceLinked="1"/>
        <c:majorTickMark val="out"/>
        <c:minorTickMark val="none"/>
        <c:tickLblPos val="nextTo"/>
        <c:spPr>
          <a:ln w="25400">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i-FI"/>
          </a:p>
        </c:txPr>
        <c:crossAx val="115631616"/>
        <c:crosses val="autoZero"/>
        <c:crossBetween val="between"/>
      </c:valAx>
      <c:spPr>
        <a:solidFill>
          <a:srgbClr val="CCFFFF"/>
        </a:solidFill>
        <a:ln w="12700">
          <a:solidFill>
            <a:srgbClr val="CCFFFF"/>
          </a:solidFill>
          <a:prstDash val="solid"/>
        </a:ln>
      </c:spPr>
    </c:plotArea>
    <c:legend>
      <c:legendPos val="r"/>
      <c:layout>
        <c:manualLayout>
          <c:xMode val="edge"/>
          <c:yMode val="edge"/>
          <c:x val="0.72370879049956305"/>
          <c:y val="0.17268080351342224"/>
          <c:w val="0.17301148831805679"/>
          <c:h val="0.64943660507783019"/>
        </c:manualLayout>
      </c:layout>
      <c:overlay val="0"/>
      <c:spPr>
        <a:solidFill>
          <a:srgbClr val="33CCCC"/>
        </a:solidFill>
        <a:ln w="25400">
          <a:noFill/>
        </a:ln>
      </c:spPr>
      <c:txPr>
        <a:bodyPr/>
        <a:lstStyle/>
        <a:p>
          <a:pPr>
            <a:defRPr sz="1050" b="1" i="0" u="none" strike="noStrike" baseline="0">
              <a:solidFill>
                <a:srgbClr val="000000"/>
              </a:solidFill>
              <a:latin typeface="Arial"/>
              <a:ea typeface="Arial"/>
              <a:cs typeface="Arial"/>
            </a:defRPr>
          </a:pPr>
          <a:endParaRPr lang="fi-FI"/>
        </a:p>
      </c:txPr>
    </c:legend>
    <c:plotVisOnly val="1"/>
    <c:dispBlanksAs val="gap"/>
    <c:showDLblsOverMax val="0"/>
  </c:chart>
  <c:spPr>
    <a:solidFill>
      <a:srgbClr val="33CCCC"/>
    </a:solidFill>
    <a:ln w="9525">
      <a:noFill/>
    </a:ln>
  </c:spPr>
  <c:txPr>
    <a:bodyPr/>
    <a:lstStyle/>
    <a:p>
      <a:pPr>
        <a:defRPr sz="1100" b="1" i="0" u="none" strike="noStrike" baseline="0">
          <a:solidFill>
            <a:srgbClr val="000000"/>
          </a:solidFill>
          <a:latin typeface="Arial"/>
          <a:ea typeface="Arial"/>
          <a:cs typeface="Arial"/>
        </a:defRPr>
      </a:pPr>
      <a:endParaRPr lang="fi-FI"/>
    </a:p>
  </c:txPr>
  <c:printSettings>
    <c:headerFooter alignWithMargins="0"/>
    <c:pageMargins b="1" l="0.75000000000001332" r="0.75000000000001332"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3" Type="http://schemas.openxmlformats.org/officeDocument/2006/relationships/chart" Target="../charts/chart31.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5" Type="http://schemas.openxmlformats.org/officeDocument/2006/relationships/chart" Target="../charts/chart53.xml"/><Relationship Id="rId2" Type="http://schemas.openxmlformats.org/officeDocument/2006/relationships/chart" Target="../charts/chart30.xml"/><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24" Type="http://schemas.openxmlformats.org/officeDocument/2006/relationships/chart" Target="../charts/chart52.xml"/><Relationship Id="rId5" Type="http://schemas.openxmlformats.org/officeDocument/2006/relationships/chart" Target="../charts/chart33.xml"/><Relationship Id="rId15" Type="http://schemas.openxmlformats.org/officeDocument/2006/relationships/chart" Target="../charts/chart43.xml"/><Relationship Id="rId23" Type="http://schemas.openxmlformats.org/officeDocument/2006/relationships/chart" Target="../charts/chart51.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drawing1.xml><?xml version="1.0" encoding="utf-8"?>
<xdr:wsDr xmlns:xdr="http://schemas.openxmlformats.org/drawingml/2006/spreadsheetDrawing" xmlns:a="http://schemas.openxmlformats.org/drawingml/2006/main">
  <xdr:twoCellAnchor>
    <xdr:from>
      <xdr:col>11</xdr:col>
      <xdr:colOff>365495</xdr:colOff>
      <xdr:row>36</xdr:row>
      <xdr:rowOff>28576</xdr:rowOff>
    </xdr:from>
    <xdr:to>
      <xdr:col>12</xdr:col>
      <xdr:colOff>66675</xdr:colOff>
      <xdr:row>38</xdr:row>
      <xdr:rowOff>77530</xdr:rowOff>
    </xdr:to>
    <xdr:sp macro="" textlink="">
      <xdr:nvSpPr>
        <xdr:cNvPr id="44556290" name="Line 5">
          <a:extLst>
            <a:ext uri="{FF2B5EF4-FFF2-40B4-BE49-F238E27FC236}">
              <a16:creationId xmlns:a16="http://schemas.microsoft.com/office/drawing/2014/main" id="{00000000-0008-0000-0000-000002E0A702}"/>
            </a:ext>
          </a:extLst>
        </xdr:cNvPr>
        <xdr:cNvSpPr>
          <a:spLocks noChangeShapeType="1"/>
        </xdr:cNvSpPr>
      </xdr:nvSpPr>
      <xdr:spPr bwMode="auto">
        <a:xfrm flipH="1">
          <a:off x="8107326" y="6319506"/>
          <a:ext cx="155279" cy="381222"/>
        </a:xfrm>
        <a:prstGeom prst="line">
          <a:avLst/>
        </a:prstGeom>
        <a:noFill/>
        <a:ln w="3175">
          <a:solidFill>
            <a:srgbClr val="000000"/>
          </a:solidFill>
          <a:round/>
          <a:headEnd/>
          <a:tailEnd type="triangle" w="med" len="med"/>
        </a:ln>
      </xdr:spPr>
    </xdr:sp>
    <xdr:clientData/>
  </xdr:twoCellAnchor>
  <xdr:twoCellAnchor>
    <xdr:from>
      <xdr:col>9</xdr:col>
      <xdr:colOff>38100</xdr:colOff>
      <xdr:row>34</xdr:row>
      <xdr:rowOff>142875</xdr:rowOff>
    </xdr:from>
    <xdr:to>
      <xdr:col>12</xdr:col>
      <xdr:colOff>19050</xdr:colOff>
      <xdr:row>35</xdr:row>
      <xdr:rowOff>66675</xdr:rowOff>
    </xdr:to>
    <xdr:sp macro="" textlink="">
      <xdr:nvSpPr>
        <xdr:cNvPr id="44556291" name="Line 7">
          <a:extLst>
            <a:ext uri="{FF2B5EF4-FFF2-40B4-BE49-F238E27FC236}">
              <a16:creationId xmlns:a16="http://schemas.microsoft.com/office/drawing/2014/main" id="{00000000-0008-0000-0000-000003E0A702}"/>
            </a:ext>
          </a:extLst>
        </xdr:cNvPr>
        <xdr:cNvSpPr>
          <a:spLocks noChangeShapeType="1"/>
        </xdr:cNvSpPr>
      </xdr:nvSpPr>
      <xdr:spPr bwMode="auto">
        <a:xfrm flipH="1" flipV="1">
          <a:off x="7362825" y="5905500"/>
          <a:ext cx="857250" cy="85725"/>
        </a:xfrm>
        <a:prstGeom prst="line">
          <a:avLst/>
        </a:prstGeom>
        <a:noFill/>
        <a:ln w="3175">
          <a:solidFill>
            <a:srgbClr val="000000"/>
          </a:solidFill>
          <a:round/>
          <a:headEnd/>
          <a:tailEnd type="triangle" w="med" len="med"/>
        </a:ln>
      </xdr:spPr>
    </xdr:sp>
    <xdr:clientData/>
  </xdr:twoCellAnchor>
  <xdr:twoCellAnchor editAs="oneCell">
    <xdr:from>
      <xdr:col>0</xdr:col>
      <xdr:colOff>547407</xdr:colOff>
      <xdr:row>8</xdr:row>
      <xdr:rowOff>173130</xdr:rowOff>
    </xdr:from>
    <xdr:to>
      <xdr:col>8</xdr:col>
      <xdr:colOff>865642</xdr:colOff>
      <xdr:row>9</xdr:row>
      <xdr:rowOff>130230</xdr:rowOff>
    </xdr:to>
    <xdr:pic>
      <xdr:nvPicPr>
        <xdr:cNvPr id="44556293" name="Picture 5">
          <a:extLst>
            <a:ext uri="{FF2B5EF4-FFF2-40B4-BE49-F238E27FC236}">
              <a16:creationId xmlns:a16="http://schemas.microsoft.com/office/drawing/2014/main" id="{00000000-0008-0000-0000-000005E0A70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7407" y="1668555"/>
          <a:ext cx="6385660" cy="1476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161925</xdr:colOff>
      <xdr:row>36</xdr:row>
      <xdr:rowOff>142875</xdr:rowOff>
    </xdr:from>
    <xdr:to>
      <xdr:col>12</xdr:col>
      <xdr:colOff>266700</xdr:colOff>
      <xdr:row>52</xdr:row>
      <xdr:rowOff>66675</xdr:rowOff>
    </xdr:to>
    <xdr:graphicFrame macro="">
      <xdr:nvGraphicFramePr>
        <xdr:cNvPr id="2" name="Chart 4">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21</xdr:row>
      <xdr:rowOff>304800</xdr:rowOff>
    </xdr:from>
    <xdr:to>
      <xdr:col>26</xdr:col>
      <xdr:colOff>381000</xdr:colOff>
      <xdr:row>43</xdr:row>
      <xdr:rowOff>19050</xdr:rowOff>
    </xdr:to>
    <xdr:graphicFrame macro="">
      <xdr:nvGraphicFramePr>
        <xdr:cNvPr id="62414695" name="Chart 19">
          <a:extLst>
            <a:ext uri="{FF2B5EF4-FFF2-40B4-BE49-F238E27FC236}">
              <a16:creationId xmlns:a16="http://schemas.microsoft.com/office/drawing/2014/main" id="{00000000-0008-0000-0400-000067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42</xdr:row>
      <xdr:rowOff>76200</xdr:rowOff>
    </xdr:from>
    <xdr:to>
      <xdr:col>26</xdr:col>
      <xdr:colOff>390525</xdr:colOff>
      <xdr:row>64</xdr:row>
      <xdr:rowOff>28575</xdr:rowOff>
    </xdr:to>
    <xdr:graphicFrame macro="">
      <xdr:nvGraphicFramePr>
        <xdr:cNvPr id="62414696" name="Chart 20">
          <a:extLst>
            <a:ext uri="{FF2B5EF4-FFF2-40B4-BE49-F238E27FC236}">
              <a16:creationId xmlns:a16="http://schemas.microsoft.com/office/drawing/2014/main" id="{00000000-0008-0000-0400-000068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419100</xdr:colOff>
      <xdr:row>21</xdr:row>
      <xdr:rowOff>261676</xdr:rowOff>
    </xdr:from>
    <xdr:to>
      <xdr:col>53</xdr:col>
      <xdr:colOff>133350</xdr:colOff>
      <xdr:row>43</xdr:row>
      <xdr:rowOff>38100</xdr:rowOff>
    </xdr:to>
    <xdr:graphicFrame macro="">
      <xdr:nvGraphicFramePr>
        <xdr:cNvPr id="62414697" name="Chart 46">
          <a:extLst>
            <a:ext uri="{FF2B5EF4-FFF2-40B4-BE49-F238E27FC236}">
              <a16:creationId xmlns:a16="http://schemas.microsoft.com/office/drawing/2014/main" id="{00000000-0008-0000-0400-000069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266700</xdr:colOff>
      <xdr:row>43</xdr:row>
      <xdr:rowOff>28575</xdr:rowOff>
    </xdr:from>
    <xdr:to>
      <xdr:col>52</xdr:col>
      <xdr:colOff>590550</xdr:colOff>
      <xdr:row>64</xdr:row>
      <xdr:rowOff>28575</xdr:rowOff>
    </xdr:to>
    <xdr:graphicFrame macro="">
      <xdr:nvGraphicFramePr>
        <xdr:cNvPr id="62414698" name="Chart 47">
          <a:extLst>
            <a:ext uri="{FF2B5EF4-FFF2-40B4-BE49-F238E27FC236}">
              <a16:creationId xmlns:a16="http://schemas.microsoft.com/office/drawing/2014/main" id="{00000000-0008-0000-0400-00006A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63</xdr:col>
      <xdr:colOff>200025</xdr:colOff>
      <xdr:row>21</xdr:row>
      <xdr:rowOff>276225</xdr:rowOff>
    </xdr:from>
    <xdr:to>
      <xdr:col>72</xdr:col>
      <xdr:colOff>638175</xdr:colOff>
      <xdr:row>43</xdr:row>
      <xdr:rowOff>47625</xdr:rowOff>
    </xdr:to>
    <xdr:graphicFrame macro="">
      <xdr:nvGraphicFramePr>
        <xdr:cNvPr id="62414699" name="Chart 48">
          <a:extLst>
            <a:ext uri="{FF2B5EF4-FFF2-40B4-BE49-F238E27FC236}">
              <a16:creationId xmlns:a16="http://schemas.microsoft.com/office/drawing/2014/main" id="{00000000-0008-0000-0400-00006B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63</xdr:col>
      <xdr:colOff>66675</xdr:colOff>
      <xdr:row>42</xdr:row>
      <xdr:rowOff>161925</xdr:rowOff>
    </xdr:from>
    <xdr:to>
      <xdr:col>72</xdr:col>
      <xdr:colOff>504825</xdr:colOff>
      <xdr:row>64</xdr:row>
      <xdr:rowOff>28575</xdr:rowOff>
    </xdr:to>
    <xdr:graphicFrame macro="">
      <xdr:nvGraphicFramePr>
        <xdr:cNvPr id="62414700" name="Chart 49">
          <a:extLst>
            <a:ext uri="{FF2B5EF4-FFF2-40B4-BE49-F238E27FC236}">
              <a16:creationId xmlns:a16="http://schemas.microsoft.com/office/drawing/2014/main" id="{00000000-0008-0000-0400-00006C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323850</xdr:colOff>
      <xdr:row>22</xdr:row>
      <xdr:rowOff>19050</xdr:rowOff>
    </xdr:from>
    <xdr:to>
      <xdr:col>35</xdr:col>
      <xdr:colOff>647700</xdr:colOff>
      <xdr:row>43</xdr:row>
      <xdr:rowOff>38100</xdr:rowOff>
    </xdr:to>
    <xdr:graphicFrame macro="">
      <xdr:nvGraphicFramePr>
        <xdr:cNvPr id="62414701" name="Chart 50">
          <a:extLst>
            <a:ext uri="{FF2B5EF4-FFF2-40B4-BE49-F238E27FC236}">
              <a16:creationId xmlns:a16="http://schemas.microsoft.com/office/drawing/2014/main" id="{00000000-0008-0000-0400-00006D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381000</xdr:colOff>
      <xdr:row>43</xdr:row>
      <xdr:rowOff>9525</xdr:rowOff>
    </xdr:from>
    <xdr:to>
      <xdr:col>35</xdr:col>
      <xdr:colOff>704850</xdr:colOff>
      <xdr:row>64</xdr:row>
      <xdr:rowOff>28575</xdr:rowOff>
    </xdr:to>
    <xdr:graphicFrame macro="">
      <xdr:nvGraphicFramePr>
        <xdr:cNvPr id="62414702" name="Chart 51">
          <a:extLst>
            <a:ext uri="{FF2B5EF4-FFF2-40B4-BE49-F238E27FC236}">
              <a16:creationId xmlns:a16="http://schemas.microsoft.com/office/drawing/2014/main" id="{00000000-0008-0000-0400-00006E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0</xdr:colOff>
      <xdr:row>1</xdr:row>
      <xdr:rowOff>390525</xdr:rowOff>
    </xdr:from>
    <xdr:to>
      <xdr:col>26</xdr:col>
      <xdr:colOff>400050</xdr:colOff>
      <xdr:row>22</xdr:row>
      <xdr:rowOff>9525</xdr:rowOff>
    </xdr:to>
    <xdr:graphicFrame macro="">
      <xdr:nvGraphicFramePr>
        <xdr:cNvPr id="62414703" name="Chart 53">
          <a:extLst>
            <a:ext uri="{FF2B5EF4-FFF2-40B4-BE49-F238E27FC236}">
              <a16:creationId xmlns:a16="http://schemas.microsoft.com/office/drawing/2014/main" id="{00000000-0008-0000-0400-00006F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447675</xdr:colOff>
      <xdr:row>1</xdr:row>
      <xdr:rowOff>390525</xdr:rowOff>
    </xdr:from>
    <xdr:to>
      <xdr:col>53</xdr:col>
      <xdr:colOff>161925</xdr:colOff>
      <xdr:row>22</xdr:row>
      <xdr:rowOff>9525</xdr:rowOff>
    </xdr:to>
    <xdr:graphicFrame macro="">
      <xdr:nvGraphicFramePr>
        <xdr:cNvPr id="62414704" name="Chart 54">
          <a:extLst>
            <a:ext uri="{FF2B5EF4-FFF2-40B4-BE49-F238E27FC236}">
              <a16:creationId xmlns:a16="http://schemas.microsoft.com/office/drawing/2014/main" id="{00000000-0008-0000-0400-000070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63</xdr:col>
      <xdr:colOff>219075</xdr:colOff>
      <xdr:row>1</xdr:row>
      <xdr:rowOff>371475</xdr:rowOff>
    </xdr:from>
    <xdr:to>
      <xdr:col>72</xdr:col>
      <xdr:colOff>657225</xdr:colOff>
      <xdr:row>21</xdr:row>
      <xdr:rowOff>295275</xdr:rowOff>
    </xdr:to>
    <xdr:graphicFrame macro="">
      <xdr:nvGraphicFramePr>
        <xdr:cNvPr id="62414705" name="Chart 55">
          <a:extLst>
            <a:ext uri="{FF2B5EF4-FFF2-40B4-BE49-F238E27FC236}">
              <a16:creationId xmlns:a16="http://schemas.microsoft.com/office/drawing/2014/main" id="{00000000-0008-0000-0400-000071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371475</xdr:colOff>
      <xdr:row>1</xdr:row>
      <xdr:rowOff>390525</xdr:rowOff>
    </xdr:from>
    <xdr:to>
      <xdr:col>35</xdr:col>
      <xdr:colOff>752475</xdr:colOff>
      <xdr:row>22</xdr:row>
      <xdr:rowOff>85725</xdr:rowOff>
    </xdr:to>
    <xdr:graphicFrame macro="">
      <xdr:nvGraphicFramePr>
        <xdr:cNvPr id="62414706" name="Chart 56">
          <a:extLst>
            <a:ext uri="{FF2B5EF4-FFF2-40B4-BE49-F238E27FC236}">
              <a16:creationId xmlns:a16="http://schemas.microsoft.com/office/drawing/2014/main" id="{00000000-0008-0000-0400-000072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35</xdr:col>
      <xdr:colOff>704850</xdr:colOff>
      <xdr:row>2</xdr:row>
      <xdr:rowOff>3243</xdr:rowOff>
    </xdr:from>
    <xdr:to>
      <xdr:col>43</xdr:col>
      <xdr:colOff>495300</xdr:colOff>
      <xdr:row>22</xdr:row>
      <xdr:rowOff>92177</xdr:rowOff>
    </xdr:to>
    <xdr:graphicFrame macro="">
      <xdr:nvGraphicFramePr>
        <xdr:cNvPr id="62414707" name="Chart 56">
          <a:extLst>
            <a:ext uri="{FF2B5EF4-FFF2-40B4-BE49-F238E27FC236}">
              <a16:creationId xmlns:a16="http://schemas.microsoft.com/office/drawing/2014/main" id="{00000000-0008-0000-0400-000073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628650</xdr:colOff>
      <xdr:row>22</xdr:row>
      <xdr:rowOff>0</xdr:rowOff>
    </xdr:from>
    <xdr:to>
      <xdr:col>43</xdr:col>
      <xdr:colOff>457200</xdr:colOff>
      <xdr:row>43</xdr:row>
      <xdr:rowOff>28575</xdr:rowOff>
    </xdr:to>
    <xdr:graphicFrame macro="">
      <xdr:nvGraphicFramePr>
        <xdr:cNvPr id="62414708" name="Chart 50">
          <a:extLst>
            <a:ext uri="{FF2B5EF4-FFF2-40B4-BE49-F238E27FC236}">
              <a16:creationId xmlns:a16="http://schemas.microsoft.com/office/drawing/2014/main" id="{00000000-0008-0000-0400-000074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35</xdr:col>
      <xdr:colOff>514350</xdr:colOff>
      <xdr:row>43</xdr:row>
      <xdr:rowOff>19050</xdr:rowOff>
    </xdr:from>
    <xdr:to>
      <xdr:col>43</xdr:col>
      <xdr:colOff>304800</xdr:colOff>
      <xdr:row>64</xdr:row>
      <xdr:rowOff>28575</xdr:rowOff>
    </xdr:to>
    <xdr:graphicFrame macro="">
      <xdr:nvGraphicFramePr>
        <xdr:cNvPr id="62414709" name="Chart 51">
          <a:extLst>
            <a:ext uri="{FF2B5EF4-FFF2-40B4-BE49-F238E27FC236}">
              <a16:creationId xmlns:a16="http://schemas.microsoft.com/office/drawing/2014/main" id="{00000000-0008-0000-0400-000075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53</xdr:col>
      <xdr:colOff>142875</xdr:colOff>
      <xdr:row>1</xdr:row>
      <xdr:rowOff>381000</xdr:rowOff>
    </xdr:from>
    <xdr:to>
      <xdr:col>63</xdr:col>
      <xdr:colOff>257175</xdr:colOff>
      <xdr:row>21</xdr:row>
      <xdr:rowOff>304800</xdr:rowOff>
    </xdr:to>
    <xdr:graphicFrame macro="">
      <xdr:nvGraphicFramePr>
        <xdr:cNvPr id="62414710" name="Chart 54">
          <a:extLst>
            <a:ext uri="{FF2B5EF4-FFF2-40B4-BE49-F238E27FC236}">
              <a16:creationId xmlns:a16="http://schemas.microsoft.com/office/drawing/2014/main" id="{00000000-0008-0000-0400-000076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53</xdr:col>
      <xdr:colOff>123825</xdr:colOff>
      <xdr:row>21</xdr:row>
      <xdr:rowOff>295275</xdr:rowOff>
    </xdr:from>
    <xdr:to>
      <xdr:col>63</xdr:col>
      <xdr:colOff>228600</xdr:colOff>
      <xdr:row>43</xdr:row>
      <xdr:rowOff>0</xdr:rowOff>
    </xdr:to>
    <xdr:graphicFrame macro="">
      <xdr:nvGraphicFramePr>
        <xdr:cNvPr id="62414711" name="Chart 46">
          <a:extLst>
            <a:ext uri="{FF2B5EF4-FFF2-40B4-BE49-F238E27FC236}">
              <a16:creationId xmlns:a16="http://schemas.microsoft.com/office/drawing/2014/main" id="{00000000-0008-0000-0400-000077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52</xdr:col>
      <xdr:colOff>581025</xdr:colOff>
      <xdr:row>42</xdr:row>
      <xdr:rowOff>161925</xdr:rowOff>
    </xdr:from>
    <xdr:to>
      <xdr:col>63</xdr:col>
      <xdr:colOff>85725</xdr:colOff>
      <xdr:row>64</xdr:row>
      <xdr:rowOff>28575</xdr:rowOff>
    </xdr:to>
    <xdr:graphicFrame macro="">
      <xdr:nvGraphicFramePr>
        <xdr:cNvPr id="62414712" name="Chart 47">
          <a:extLst>
            <a:ext uri="{FF2B5EF4-FFF2-40B4-BE49-F238E27FC236}">
              <a16:creationId xmlns:a16="http://schemas.microsoft.com/office/drawing/2014/main" id="{00000000-0008-0000-0400-000078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72</xdr:col>
      <xdr:colOff>523875</xdr:colOff>
      <xdr:row>2</xdr:row>
      <xdr:rowOff>9525</xdr:rowOff>
    </xdr:from>
    <xdr:to>
      <xdr:col>84</xdr:col>
      <xdr:colOff>0</xdr:colOff>
      <xdr:row>22</xdr:row>
      <xdr:rowOff>28575</xdr:rowOff>
    </xdr:to>
    <xdr:graphicFrame macro="">
      <xdr:nvGraphicFramePr>
        <xdr:cNvPr id="62414713" name="Chart 55">
          <a:extLst>
            <a:ext uri="{FF2B5EF4-FFF2-40B4-BE49-F238E27FC236}">
              <a16:creationId xmlns:a16="http://schemas.microsoft.com/office/drawing/2014/main" id="{00000000-0008-0000-0400-000079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72</xdr:col>
      <xdr:colOff>523875</xdr:colOff>
      <xdr:row>21</xdr:row>
      <xdr:rowOff>266700</xdr:rowOff>
    </xdr:from>
    <xdr:to>
      <xdr:col>84</xdr:col>
      <xdr:colOff>0</xdr:colOff>
      <xdr:row>43</xdr:row>
      <xdr:rowOff>47625</xdr:rowOff>
    </xdr:to>
    <xdr:graphicFrame macro="">
      <xdr:nvGraphicFramePr>
        <xdr:cNvPr id="62414714" name="Chart 48">
          <a:extLst>
            <a:ext uri="{FF2B5EF4-FFF2-40B4-BE49-F238E27FC236}">
              <a16:creationId xmlns:a16="http://schemas.microsoft.com/office/drawing/2014/main" id="{00000000-0008-0000-0400-00007A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72</xdr:col>
      <xdr:colOff>495300</xdr:colOff>
      <xdr:row>43</xdr:row>
      <xdr:rowOff>38100</xdr:rowOff>
    </xdr:from>
    <xdr:to>
      <xdr:col>84</xdr:col>
      <xdr:colOff>0</xdr:colOff>
      <xdr:row>64</xdr:row>
      <xdr:rowOff>28575</xdr:rowOff>
    </xdr:to>
    <xdr:graphicFrame macro="">
      <xdr:nvGraphicFramePr>
        <xdr:cNvPr id="62414715" name="Chart 49">
          <a:extLst>
            <a:ext uri="{FF2B5EF4-FFF2-40B4-BE49-F238E27FC236}">
              <a16:creationId xmlns:a16="http://schemas.microsoft.com/office/drawing/2014/main" id="{00000000-0008-0000-0400-00007B5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66</xdr:col>
      <xdr:colOff>0</xdr:colOff>
      <xdr:row>0</xdr:row>
      <xdr:rowOff>0</xdr:rowOff>
    </xdr:from>
    <xdr:to>
      <xdr:col>75</xdr:col>
      <xdr:colOff>371475</xdr:colOff>
      <xdr:row>22</xdr:row>
      <xdr:rowOff>28575</xdr:rowOff>
    </xdr:to>
    <xdr:graphicFrame macro="">
      <xdr:nvGraphicFramePr>
        <xdr:cNvPr id="65276948" name="Chart 47">
          <a:extLst>
            <a:ext uri="{FF2B5EF4-FFF2-40B4-BE49-F238E27FC236}">
              <a16:creationId xmlns:a16="http://schemas.microsoft.com/office/drawing/2014/main" id="{00000000-0008-0000-0500-000014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65</xdr:col>
      <xdr:colOff>561975</xdr:colOff>
      <xdr:row>21</xdr:row>
      <xdr:rowOff>161925</xdr:rowOff>
    </xdr:from>
    <xdr:to>
      <xdr:col>75</xdr:col>
      <xdr:colOff>361950</xdr:colOff>
      <xdr:row>43</xdr:row>
      <xdr:rowOff>161925</xdr:rowOff>
    </xdr:to>
    <xdr:graphicFrame macro="">
      <xdr:nvGraphicFramePr>
        <xdr:cNvPr id="65276949" name="Chart 61">
          <a:extLst>
            <a:ext uri="{FF2B5EF4-FFF2-40B4-BE49-F238E27FC236}">
              <a16:creationId xmlns:a16="http://schemas.microsoft.com/office/drawing/2014/main" id="{00000000-0008-0000-0500-000015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75</xdr:col>
      <xdr:colOff>361950</xdr:colOff>
      <xdr:row>0</xdr:row>
      <xdr:rowOff>0</xdr:rowOff>
    </xdr:from>
    <xdr:to>
      <xdr:col>85</xdr:col>
      <xdr:colOff>171450</xdr:colOff>
      <xdr:row>22</xdr:row>
      <xdr:rowOff>9525</xdr:rowOff>
    </xdr:to>
    <xdr:graphicFrame macro="">
      <xdr:nvGraphicFramePr>
        <xdr:cNvPr id="65276950" name="Chart 65">
          <a:extLst>
            <a:ext uri="{FF2B5EF4-FFF2-40B4-BE49-F238E27FC236}">
              <a16:creationId xmlns:a16="http://schemas.microsoft.com/office/drawing/2014/main" id="{00000000-0008-0000-0500-000016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75</xdr:col>
      <xdr:colOff>342900</xdr:colOff>
      <xdr:row>21</xdr:row>
      <xdr:rowOff>171450</xdr:rowOff>
    </xdr:from>
    <xdr:to>
      <xdr:col>85</xdr:col>
      <xdr:colOff>171450</xdr:colOff>
      <xdr:row>43</xdr:row>
      <xdr:rowOff>152400</xdr:rowOff>
    </xdr:to>
    <xdr:graphicFrame macro="">
      <xdr:nvGraphicFramePr>
        <xdr:cNvPr id="65276951" name="Chart 66">
          <a:extLst>
            <a:ext uri="{FF2B5EF4-FFF2-40B4-BE49-F238E27FC236}">
              <a16:creationId xmlns:a16="http://schemas.microsoft.com/office/drawing/2014/main" id="{00000000-0008-0000-0500-000017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66</xdr:col>
      <xdr:colOff>0</xdr:colOff>
      <xdr:row>43</xdr:row>
      <xdr:rowOff>161925</xdr:rowOff>
    </xdr:from>
    <xdr:to>
      <xdr:col>75</xdr:col>
      <xdr:colOff>342900</xdr:colOff>
      <xdr:row>63</xdr:row>
      <xdr:rowOff>19050</xdr:rowOff>
    </xdr:to>
    <xdr:graphicFrame macro="">
      <xdr:nvGraphicFramePr>
        <xdr:cNvPr id="65276952" name="Chart 68">
          <a:extLst>
            <a:ext uri="{FF2B5EF4-FFF2-40B4-BE49-F238E27FC236}">
              <a16:creationId xmlns:a16="http://schemas.microsoft.com/office/drawing/2014/main" id="{00000000-0008-0000-0500-000018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75</xdr:col>
      <xdr:colOff>247650</xdr:colOff>
      <xdr:row>43</xdr:row>
      <xdr:rowOff>123825</xdr:rowOff>
    </xdr:from>
    <xdr:to>
      <xdr:col>85</xdr:col>
      <xdr:colOff>171450</xdr:colOff>
      <xdr:row>63</xdr:row>
      <xdr:rowOff>19050</xdr:rowOff>
    </xdr:to>
    <xdr:graphicFrame macro="">
      <xdr:nvGraphicFramePr>
        <xdr:cNvPr id="65276953" name="Chart 69">
          <a:extLst>
            <a:ext uri="{FF2B5EF4-FFF2-40B4-BE49-F238E27FC236}">
              <a16:creationId xmlns:a16="http://schemas.microsoft.com/office/drawing/2014/main" id="{00000000-0008-0000-0500-0000190CE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635000</xdr:colOff>
      <xdr:row>30</xdr:row>
      <xdr:rowOff>28575</xdr:rowOff>
    </xdr:from>
    <xdr:to>
      <xdr:col>21</xdr:col>
      <xdr:colOff>19054</xdr:colOff>
      <xdr:row>54</xdr:row>
      <xdr:rowOff>47625</xdr:rowOff>
    </xdr:to>
    <xdr:graphicFrame macro="">
      <xdr:nvGraphicFramePr>
        <xdr:cNvPr id="67041281" name="Chart 20">
          <a:extLst>
            <a:ext uri="{FF2B5EF4-FFF2-40B4-BE49-F238E27FC236}">
              <a16:creationId xmlns:a16="http://schemas.microsoft.com/office/drawing/2014/main" id="{00000000-0008-0000-0700-000001F8F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285750</xdr:colOff>
      <xdr:row>36</xdr:row>
      <xdr:rowOff>9525</xdr:rowOff>
    </xdr:from>
    <xdr:to>
      <xdr:col>41</xdr:col>
      <xdr:colOff>542925</xdr:colOff>
      <xdr:row>52</xdr:row>
      <xdr:rowOff>76200</xdr:rowOff>
    </xdr:to>
    <xdr:graphicFrame macro="">
      <xdr:nvGraphicFramePr>
        <xdr:cNvPr id="67041282" name="Chart 3">
          <a:extLst>
            <a:ext uri="{FF2B5EF4-FFF2-40B4-BE49-F238E27FC236}">
              <a16:creationId xmlns:a16="http://schemas.microsoft.com/office/drawing/2014/main" id="{00000000-0008-0000-0700-000002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314325</xdr:colOff>
      <xdr:row>4</xdr:row>
      <xdr:rowOff>104775</xdr:rowOff>
    </xdr:from>
    <xdr:to>
      <xdr:col>41</xdr:col>
      <xdr:colOff>476250</xdr:colOff>
      <xdr:row>20</xdr:row>
      <xdr:rowOff>152400</xdr:rowOff>
    </xdr:to>
    <xdr:graphicFrame macro="">
      <xdr:nvGraphicFramePr>
        <xdr:cNvPr id="67041283" name="Chart 4">
          <a:extLst>
            <a:ext uri="{FF2B5EF4-FFF2-40B4-BE49-F238E27FC236}">
              <a16:creationId xmlns:a16="http://schemas.microsoft.com/office/drawing/2014/main" id="{00000000-0008-0000-0700-000003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276225</xdr:colOff>
      <xdr:row>20</xdr:row>
      <xdr:rowOff>47625</xdr:rowOff>
    </xdr:from>
    <xdr:to>
      <xdr:col>41</xdr:col>
      <xdr:colOff>495300</xdr:colOff>
      <xdr:row>36</xdr:row>
      <xdr:rowOff>28575</xdr:rowOff>
    </xdr:to>
    <xdr:graphicFrame macro="">
      <xdr:nvGraphicFramePr>
        <xdr:cNvPr id="67041284" name="Chart 5">
          <a:extLst>
            <a:ext uri="{FF2B5EF4-FFF2-40B4-BE49-F238E27FC236}">
              <a16:creationId xmlns:a16="http://schemas.microsoft.com/office/drawing/2014/main" id="{00000000-0008-0000-0700-000004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238125</xdr:colOff>
      <xdr:row>51</xdr:row>
      <xdr:rowOff>104775</xdr:rowOff>
    </xdr:from>
    <xdr:to>
      <xdr:col>41</xdr:col>
      <xdr:colOff>447675</xdr:colOff>
      <xdr:row>69</xdr:row>
      <xdr:rowOff>9525</xdr:rowOff>
    </xdr:to>
    <xdr:graphicFrame macro="">
      <xdr:nvGraphicFramePr>
        <xdr:cNvPr id="67041285" name="Chart 7">
          <a:extLst>
            <a:ext uri="{FF2B5EF4-FFF2-40B4-BE49-F238E27FC236}">
              <a16:creationId xmlns:a16="http://schemas.microsoft.com/office/drawing/2014/main" id="{00000000-0008-0000-0700-000005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38100</xdr:colOff>
      <xdr:row>4</xdr:row>
      <xdr:rowOff>104775</xdr:rowOff>
    </xdr:from>
    <xdr:to>
      <xdr:col>29</xdr:col>
      <xdr:colOff>190500</xdr:colOff>
      <xdr:row>20</xdr:row>
      <xdr:rowOff>123825</xdr:rowOff>
    </xdr:to>
    <xdr:graphicFrame macro="">
      <xdr:nvGraphicFramePr>
        <xdr:cNvPr id="67041286" name="Chart 13">
          <a:extLst>
            <a:ext uri="{FF2B5EF4-FFF2-40B4-BE49-F238E27FC236}">
              <a16:creationId xmlns:a16="http://schemas.microsoft.com/office/drawing/2014/main" id="{00000000-0008-0000-0700-000006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38100</xdr:colOff>
      <xdr:row>35</xdr:row>
      <xdr:rowOff>133350</xdr:rowOff>
    </xdr:from>
    <xdr:to>
      <xdr:col>29</xdr:col>
      <xdr:colOff>180975</xdr:colOff>
      <xdr:row>52</xdr:row>
      <xdr:rowOff>85725</xdr:rowOff>
    </xdr:to>
    <xdr:graphicFrame macro="">
      <xdr:nvGraphicFramePr>
        <xdr:cNvPr id="67041287" name="Chart 16">
          <a:extLst>
            <a:ext uri="{FF2B5EF4-FFF2-40B4-BE49-F238E27FC236}">
              <a16:creationId xmlns:a16="http://schemas.microsoft.com/office/drawing/2014/main" id="{00000000-0008-0000-0700-000007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38100</xdr:colOff>
      <xdr:row>52</xdr:row>
      <xdr:rowOff>19050</xdr:rowOff>
    </xdr:from>
    <xdr:to>
      <xdr:col>29</xdr:col>
      <xdr:colOff>247650</xdr:colOff>
      <xdr:row>69</xdr:row>
      <xdr:rowOff>38100</xdr:rowOff>
    </xdr:to>
    <xdr:graphicFrame macro="">
      <xdr:nvGraphicFramePr>
        <xdr:cNvPr id="67041288" name="Chart 18">
          <a:extLst>
            <a:ext uri="{FF2B5EF4-FFF2-40B4-BE49-F238E27FC236}">
              <a16:creationId xmlns:a16="http://schemas.microsoft.com/office/drawing/2014/main" id="{00000000-0008-0000-0700-000008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28575</xdr:colOff>
      <xdr:row>20</xdr:row>
      <xdr:rowOff>0</xdr:rowOff>
    </xdr:from>
    <xdr:to>
      <xdr:col>29</xdr:col>
      <xdr:colOff>257175</xdr:colOff>
      <xdr:row>35</xdr:row>
      <xdr:rowOff>152400</xdr:rowOff>
    </xdr:to>
    <xdr:graphicFrame macro="">
      <xdr:nvGraphicFramePr>
        <xdr:cNvPr id="67041289" name="Chart 19">
          <a:extLst>
            <a:ext uri="{FF2B5EF4-FFF2-40B4-BE49-F238E27FC236}">
              <a16:creationId xmlns:a16="http://schemas.microsoft.com/office/drawing/2014/main" id="{00000000-0008-0000-0700-000009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48</xdr:col>
      <xdr:colOff>0</xdr:colOff>
      <xdr:row>36</xdr:row>
      <xdr:rowOff>28575</xdr:rowOff>
    </xdr:from>
    <xdr:to>
      <xdr:col>54</xdr:col>
      <xdr:colOff>276225</xdr:colOff>
      <xdr:row>52</xdr:row>
      <xdr:rowOff>104775</xdr:rowOff>
    </xdr:to>
    <xdr:graphicFrame macro="">
      <xdr:nvGraphicFramePr>
        <xdr:cNvPr id="67041290" name="Chart 10">
          <a:extLst>
            <a:ext uri="{FF2B5EF4-FFF2-40B4-BE49-F238E27FC236}">
              <a16:creationId xmlns:a16="http://schemas.microsoft.com/office/drawing/2014/main" id="{00000000-0008-0000-0700-00000A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47</xdr:col>
      <xdr:colOff>590550</xdr:colOff>
      <xdr:row>4</xdr:row>
      <xdr:rowOff>104775</xdr:rowOff>
    </xdr:from>
    <xdr:to>
      <xdr:col>54</xdr:col>
      <xdr:colOff>200025</xdr:colOff>
      <xdr:row>20</xdr:row>
      <xdr:rowOff>133350</xdr:rowOff>
    </xdr:to>
    <xdr:graphicFrame macro="">
      <xdr:nvGraphicFramePr>
        <xdr:cNvPr id="67041291" name="Chart 12">
          <a:extLst>
            <a:ext uri="{FF2B5EF4-FFF2-40B4-BE49-F238E27FC236}">
              <a16:creationId xmlns:a16="http://schemas.microsoft.com/office/drawing/2014/main" id="{00000000-0008-0000-0700-00000B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48</xdr:col>
      <xdr:colOff>19050</xdr:colOff>
      <xdr:row>20</xdr:row>
      <xdr:rowOff>66675</xdr:rowOff>
    </xdr:from>
    <xdr:to>
      <xdr:col>54</xdr:col>
      <xdr:colOff>257175</xdr:colOff>
      <xdr:row>36</xdr:row>
      <xdr:rowOff>47625</xdr:rowOff>
    </xdr:to>
    <xdr:graphicFrame macro="">
      <xdr:nvGraphicFramePr>
        <xdr:cNvPr id="67041292" name="Chart 14">
          <a:extLst>
            <a:ext uri="{FF2B5EF4-FFF2-40B4-BE49-F238E27FC236}">
              <a16:creationId xmlns:a16="http://schemas.microsoft.com/office/drawing/2014/main" id="{00000000-0008-0000-0700-00000C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47</xdr:col>
      <xdr:colOff>571500</xdr:colOff>
      <xdr:row>52</xdr:row>
      <xdr:rowOff>47625</xdr:rowOff>
    </xdr:from>
    <xdr:to>
      <xdr:col>54</xdr:col>
      <xdr:colOff>190500</xdr:colOff>
      <xdr:row>69</xdr:row>
      <xdr:rowOff>9525</xdr:rowOff>
    </xdr:to>
    <xdr:graphicFrame macro="">
      <xdr:nvGraphicFramePr>
        <xdr:cNvPr id="67041293" name="Chart 17">
          <a:extLst>
            <a:ext uri="{FF2B5EF4-FFF2-40B4-BE49-F238E27FC236}">
              <a16:creationId xmlns:a16="http://schemas.microsoft.com/office/drawing/2014/main" id="{00000000-0008-0000-0700-00000D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54</xdr:col>
      <xdr:colOff>219075</xdr:colOff>
      <xdr:row>36</xdr:row>
      <xdr:rowOff>47625</xdr:rowOff>
    </xdr:from>
    <xdr:to>
      <xdr:col>60</xdr:col>
      <xdr:colOff>361950</xdr:colOff>
      <xdr:row>52</xdr:row>
      <xdr:rowOff>114300</xdr:rowOff>
    </xdr:to>
    <xdr:graphicFrame macro="">
      <xdr:nvGraphicFramePr>
        <xdr:cNvPr id="67041294" name="Chart 10">
          <a:extLst>
            <a:ext uri="{FF2B5EF4-FFF2-40B4-BE49-F238E27FC236}">
              <a16:creationId xmlns:a16="http://schemas.microsoft.com/office/drawing/2014/main" id="{00000000-0008-0000-0700-00000E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54</xdr:col>
      <xdr:colOff>180975</xdr:colOff>
      <xdr:row>4</xdr:row>
      <xdr:rowOff>104775</xdr:rowOff>
    </xdr:from>
    <xdr:to>
      <xdr:col>60</xdr:col>
      <xdr:colOff>333375</xdr:colOff>
      <xdr:row>20</xdr:row>
      <xdr:rowOff>133350</xdr:rowOff>
    </xdr:to>
    <xdr:graphicFrame macro="">
      <xdr:nvGraphicFramePr>
        <xdr:cNvPr id="67041295" name="Chart 12">
          <a:extLst>
            <a:ext uri="{FF2B5EF4-FFF2-40B4-BE49-F238E27FC236}">
              <a16:creationId xmlns:a16="http://schemas.microsoft.com/office/drawing/2014/main" id="{00000000-0008-0000-0700-00000F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54</xdr:col>
      <xdr:colOff>76200</xdr:colOff>
      <xdr:row>20</xdr:row>
      <xdr:rowOff>85725</xdr:rowOff>
    </xdr:from>
    <xdr:to>
      <xdr:col>60</xdr:col>
      <xdr:colOff>323850</xdr:colOff>
      <xdr:row>36</xdr:row>
      <xdr:rowOff>66675</xdr:rowOff>
    </xdr:to>
    <xdr:graphicFrame macro="">
      <xdr:nvGraphicFramePr>
        <xdr:cNvPr id="67041296" name="Chart 14">
          <a:extLst>
            <a:ext uri="{FF2B5EF4-FFF2-40B4-BE49-F238E27FC236}">
              <a16:creationId xmlns:a16="http://schemas.microsoft.com/office/drawing/2014/main" id="{00000000-0008-0000-0700-000010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54</xdr:col>
      <xdr:colOff>161925</xdr:colOff>
      <xdr:row>52</xdr:row>
      <xdr:rowOff>28575</xdr:rowOff>
    </xdr:from>
    <xdr:to>
      <xdr:col>60</xdr:col>
      <xdr:colOff>333375</xdr:colOff>
      <xdr:row>69</xdr:row>
      <xdr:rowOff>9525</xdr:rowOff>
    </xdr:to>
    <xdr:graphicFrame macro="">
      <xdr:nvGraphicFramePr>
        <xdr:cNvPr id="67041297" name="Chart 17">
          <a:extLst>
            <a:ext uri="{FF2B5EF4-FFF2-40B4-BE49-F238E27FC236}">
              <a16:creationId xmlns:a16="http://schemas.microsoft.com/office/drawing/2014/main" id="{00000000-0008-0000-0700-000011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41</xdr:col>
      <xdr:colOff>504825</xdr:colOff>
      <xdr:row>36</xdr:row>
      <xdr:rowOff>114300</xdr:rowOff>
    </xdr:from>
    <xdr:to>
      <xdr:col>48</xdr:col>
      <xdr:colOff>57150</xdr:colOff>
      <xdr:row>53</xdr:row>
      <xdr:rowOff>19050</xdr:rowOff>
    </xdr:to>
    <xdr:graphicFrame macro="">
      <xdr:nvGraphicFramePr>
        <xdr:cNvPr id="67041298" name="Chart 3">
          <a:extLst>
            <a:ext uri="{FF2B5EF4-FFF2-40B4-BE49-F238E27FC236}">
              <a16:creationId xmlns:a16="http://schemas.microsoft.com/office/drawing/2014/main" id="{00000000-0008-0000-0700-000012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41</xdr:col>
      <xdr:colOff>400050</xdr:colOff>
      <xdr:row>4</xdr:row>
      <xdr:rowOff>104775</xdr:rowOff>
    </xdr:from>
    <xdr:to>
      <xdr:col>48</xdr:col>
      <xdr:colOff>38100</xdr:colOff>
      <xdr:row>21</xdr:row>
      <xdr:rowOff>28575</xdr:rowOff>
    </xdr:to>
    <xdr:graphicFrame macro="">
      <xdr:nvGraphicFramePr>
        <xdr:cNvPr id="67041299" name="Chart 4">
          <a:extLst>
            <a:ext uri="{FF2B5EF4-FFF2-40B4-BE49-F238E27FC236}">
              <a16:creationId xmlns:a16="http://schemas.microsoft.com/office/drawing/2014/main" id="{00000000-0008-0000-0700-000013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41</xdr:col>
      <xdr:colOff>447675</xdr:colOff>
      <xdr:row>20</xdr:row>
      <xdr:rowOff>142875</xdr:rowOff>
    </xdr:from>
    <xdr:to>
      <xdr:col>48</xdr:col>
      <xdr:colOff>76200</xdr:colOff>
      <xdr:row>36</xdr:row>
      <xdr:rowOff>123825</xdr:rowOff>
    </xdr:to>
    <xdr:graphicFrame macro="">
      <xdr:nvGraphicFramePr>
        <xdr:cNvPr id="67041300" name="Chart 5">
          <a:extLst>
            <a:ext uri="{FF2B5EF4-FFF2-40B4-BE49-F238E27FC236}">
              <a16:creationId xmlns:a16="http://schemas.microsoft.com/office/drawing/2014/main" id="{00000000-0008-0000-0700-000014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41</xdr:col>
      <xdr:colOff>428625</xdr:colOff>
      <xdr:row>52</xdr:row>
      <xdr:rowOff>19050</xdr:rowOff>
    </xdr:from>
    <xdr:to>
      <xdr:col>47</xdr:col>
      <xdr:colOff>600075</xdr:colOff>
      <xdr:row>69</xdr:row>
      <xdr:rowOff>76200</xdr:rowOff>
    </xdr:to>
    <xdr:graphicFrame macro="">
      <xdr:nvGraphicFramePr>
        <xdr:cNvPr id="67041301" name="Chart 7">
          <a:extLst>
            <a:ext uri="{FF2B5EF4-FFF2-40B4-BE49-F238E27FC236}">
              <a16:creationId xmlns:a16="http://schemas.microsoft.com/office/drawing/2014/main" id="{00000000-0008-0000-0700-000015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180975</xdr:colOff>
      <xdr:row>4</xdr:row>
      <xdr:rowOff>104775</xdr:rowOff>
    </xdr:from>
    <xdr:to>
      <xdr:col>35</xdr:col>
      <xdr:colOff>323850</xdr:colOff>
      <xdr:row>20</xdr:row>
      <xdr:rowOff>123825</xdr:rowOff>
    </xdr:to>
    <xdr:graphicFrame macro="">
      <xdr:nvGraphicFramePr>
        <xdr:cNvPr id="67041302" name="Chart 13">
          <a:extLst>
            <a:ext uri="{FF2B5EF4-FFF2-40B4-BE49-F238E27FC236}">
              <a16:creationId xmlns:a16="http://schemas.microsoft.com/office/drawing/2014/main" id="{00000000-0008-0000-0700-000016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29</xdr:col>
      <xdr:colOff>171450</xdr:colOff>
      <xdr:row>36</xdr:row>
      <xdr:rowOff>0</xdr:rowOff>
    </xdr:from>
    <xdr:to>
      <xdr:col>35</xdr:col>
      <xdr:colOff>304800</xdr:colOff>
      <xdr:row>52</xdr:row>
      <xdr:rowOff>66675</xdr:rowOff>
    </xdr:to>
    <xdr:graphicFrame macro="">
      <xdr:nvGraphicFramePr>
        <xdr:cNvPr id="67041303" name="Chart 16">
          <a:extLst>
            <a:ext uri="{FF2B5EF4-FFF2-40B4-BE49-F238E27FC236}">
              <a16:creationId xmlns:a16="http://schemas.microsoft.com/office/drawing/2014/main" id="{00000000-0008-0000-0700-000017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85725</xdr:colOff>
      <xdr:row>52</xdr:row>
      <xdr:rowOff>38100</xdr:rowOff>
    </xdr:from>
    <xdr:to>
      <xdr:col>35</xdr:col>
      <xdr:colOff>285750</xdr:colOff>
      <xdr:row>69</xdr:row>
      <xdr:rowOff>9525</xdr:rowOff>
    </xdr:to>
    <xdr:graphicFrame macro="">
      <xdr:nvGraphicFramePr>
        <xdr:cNvPr id="67041304" name="Chart 18">
          <a:extLst>
            <a:ext uri="{FF2B5EF4-FFF2-40B4-BE49-F238E27FC236}">
              <a16:creationId xmlns:a16="http://schemas.microsoft.com/office/drawing/2014/main" id="{00000000-0008-0000-0700-000018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76200</xdr:colOff>
      <xdr:row>20</xdr:row>
      <xdr:rowOff>19050</xdr:rowOff>
    </xdr:from>
    <xdr:to>
      <xdr:col>35</xdr:col>
      <xdr:colOff>400050</xdr:colOff>
      <xdr:row>36</xdr:row>
      <xdr:rowOff>95250</xdr:rowOff>
    </xdr:to>
    <xdr:graphicFrame macro="">
      <xdr:nvGraphicFramePr>
        <xdr:cNvPr id="67041305" name="Chart 19">
          <a:extLst>
            <a:ext uri="{FF2B5EF4-FFF2-40B4-BE49-F238E27FC236}">
              <a16:creationId xmlns:a16="http://schemas.microsoft.com/office/drawing/2014/main" id="{00000000-0008-0000-0700-000019F8FE0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2457450</xdr:colOff>
      <xdr:row>16</xdr:row>
      <xdr:rowOff>66675</xdr:rowOff>
    </xdr:from>
    <xdr:to>
      <xdr:col>28</xdr:col>
      <xdr:colOff>19050</xdr:colOff>
      <xdr:row>39</xdr:row>
      <xdr:rowOff>19050</xdr:rowOff>
    </xdr:to>
    <xdr:graphicFrame macro="">
      <xdr:nvGraphicFramePr>
        <xdr:cNvPr id="62468383" name="Chart 77">
          <a:extLst>
            <a:ext uri="{FF2B5EF4-FFF2-40B4-BE49-F238E27FC236}">
              <a16:creationId xmlns:a16="http://schemas.microsoft.com/office/drawing/2014/main" id="{00000000-0008-0000-0800-00001F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0</xdr:colOff>
      <xdr:row>26</xdr:row>
      <xdr:rowOff>28575</xdr:rowOff>
    </xdr:from>
    <xdr:to>
      <xdr:col>36</xdr:col>
      <xdr:colOff>514350</xdr:colOff>
      <xdr:row>46</xdr:row>
      <xdr:rowOff>95250</xdr:rowOff>
    </xdr:to>
    <xdr:graphicFrame macro="">
      <xdr:nvGraphicFramePr>
        <xdr:cNvPr id="62468384" name="Chart 78">
          <a:extLst>
            <a:ext uri="{FF2B5EF4-FFF2-40B4-BE49-F238E27FC236}">
              <a16:creationId xmlns:a16="http://schemas.microsoft.com/office/drawing/2014/main" id="{00000000-0008-0000-0800-000020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0</xdr:colOff>
      <xdr:row>49</xdr:row>
      <xdr:rowOff>38100</xdr:rowOff>
    </xdr:from>
    <xdr:to>
      <xdr:col>36</xdr:col>
      <xdr:colOff>590550</xdr:colOff>
      <xdr:row>71</xdr:row>
      <xdr:rowOff>0</xdr:rowOff>
    </xdr:to>
    <xdr:graphicFrame macro="">
      <xdr:nvGraphicFramePr>
        <xdr:cNvPr id="62468385" name="Chart 79">
          <a:extLst>
            <a:ext uri="{FF2B5EF4-FFF2-40B4-BE49-F238E27FC236}">
              <a16:creationId xmlns:a16="http://schemas.microsoft.com/office/drawing/2014/main" id="{00000000-0008-0000-0800-000021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2</xdr:row>
      <xdr:rowOff>171450</xdr:rowOff>
    </xdr:from>
    <xdr:to>
      <xdr:col>36</xdr:col>
      <xdr:colOff>542925</xdr:colOff>
      <xdr:row>24</xdr:row>
      <xdr:rowOff>28575</xdr:rowOff>
    </xdr:to>
    <xdr:graphicFrame macro="">
      <xdr:nvGraphicFramePr>
        <xdr:cNvPr id="62468386" name="Chart 80">
          <a:extLst>
            <a:ext uri="{FF2B5EF4-FFF2-40B4-BE49-F238E27FC236}">
              <a16:creationId xmlns:a16="http://schemas.microsoft.com/office/drawing/2014/main" id="{00000000-0008-0000-0800-000022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504825</xdr:colOff>
      <xdr:row>26</xdr:row>
      <xdr:rowOff>38100</xdr:rowOff>
    </xdr:from>
    <xdr:to>
      <xdr:col>46</xdr:col>
      <xdr:colOff>104775</xdr:colOff>
      <xdr:row>46</xdr:row>
      <xdr:rowOff>104775</xdr:rowOff>
    </xdr:to>
    <xdr:graphicFrame macro="">
      <xdr:nvGraphicFramePr>
        <xdr:cNvPr id="62468387" name="Chart 78">
          <a:extLst>
            <a:ext uri="{FF2B5EF4-FFF2-40B4-BE49-F238E27FC236}">
              <a16:creationId xmlns:a16="http://schemas.microsoft.com/office/drawing/2014/main" id="{00000000-0008-0000-0800-000023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36</xdr:col>
      <xdr:colOff>523875</xdr:colOff>
      <xdr:row>49</xdr:row>
      <xdr:rowOff>85725</xdr:rowOff>
    </xdr:from>
    <xdr:to>
      <xdr:col>46</xdr:col>
      <xdr:colOff>104775</xdr:colOff>
      <xdr:row>71</xdr:row>
      <xdr:rowOff>0</xdr:rowOff>
    </xdr:to>
    <xdr:graphicFrame macro="">
      <xdr:nvGraphicFramePr>
        <xdr:cNvPr id="62468388" name="Chart 79">
          <a:extLst>
            <a:ext uri="{FF2B5EF4-FFF2-40B4-BE49-F238E27FC236}">
              <a16:creationId xmlns:a16="http://schemas.microsoft.com/office/drawing/2014/main" id="{00000000-0008-0000-0800-000024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514350</xdr:colOff>
      <xdr:row>2</xdr:row>
      <xdr:rowOff>76200</xdr:rowOff>
    </xdr:from>
    <xdr:to>
      <xdr:col>46</xdr:col>
      <xdr:colOff>95250</xdr:colOff>
      <xdr:row>24</xdr:row>
      <xdr:rowOff>38100</xdr:rowOff>
    </xdr:to>
    <xdr:graphicFrame macro="">
      <xdr:nvGraphicFramePr>
        <xdr:cNvPr id="62468389" name="Chart 80">
          <a:extLst>
            <a:ext uri="{FF2B5EF4-FFF2-40B4-BE49-F238E27FC236}">
              <a16:creationId xmlns:a16="http://schemas.microsoft.com/office/drawing/2014/main" id="{00000000-0008-0000-0800-00002531B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285749</xdr:colOff>
      <xdr:row>4</xdr:row>
      <xdr:rowOff>57150</xdr:rowOff>
    </xdr:from>
    <xdr:to>
      <xdr:col>28</xdr:col>
      <xdr:colOff>556516</xdr:colOff>
      <xdr:row>26</xdr:row>
      <xdr:rowOff>104775</xdr:rowOff>
    </xdr:to>
    <xdr:graphicFrame macro="">
      <xdr:nvGraphicFramePr>
        <xdr:cNvPr id="43108036" name="Chart 2">
          <a:extLst>
            <a:ext uri="{FF2B5EF4-FFF2-40B4-BE49-F238E27FC236}">
              <a16:creationId xmlns:a16="http://schemas.microsoft.com/office/drawing/2014/main" id="{00000000-0008-0000-0900-0000C4C69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276225</xdr:colOff>
      <xdr:row>28</xdr:row>
      <xdr:rowOff>38100</xdr:rowOff>
    </xdr:from>
    <xdr:to>
      <xdr:col>28</xdr:col>
      <xdr:colOff>556517</xdr:colOff>
      <xdr:row>50</xdr:row>
      <xdr:rowOff>123825</xdr:rowOff>
    </xdr:to>
    <xdr:graphicFrame macro="">
      <xdr:nvGraphicFramePr>
        <xdr:cNvPr id="43108037" name="Chart 5">
          <a:extLst>
            <a:ext uri="{FF2B5EF4-FFF2-40B4-BE49-F238E27FC236}">
              <a16:creationId xmlns:a16="http://schemas.microsoft.com/office/drawing/2014/main" id="{00000000-0008-0000-0900-0000C5C69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131</xdr:col>
      <xdr:colOff>0</xdr:colOff>
      <xdr:row>3</xdr:row>
      <xdr:rowOff>47625</xdr:rowOff>
    </xdr:from>
    <xdr:to>
      <xdr:col>150</xdr:col>
      <xdr:colOff>0</xdr:colOff>
      <xdr:row>28</xdr:row>
      <xdr:rowOff>9525</xdr:rowOff>
    </xdr:to>
    <xdr:graphicFrame macro="">
      <xdr:nvGraphicFramePr>
        <xdr:cNvPr id="65544271" name="Chart 57">
          <a:extLst>
            <a:ext uri="{FF2B5EF4-FFF2-40B4-BE49-F238E27FC236}">
              <a16:creationId xmlns:a16="http://schemas.microsoft.com/office/drawing/2014/main" id="{00000000-0008-0000-0A00-00004F2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131</xdr:col>
      <xdr:colOff>0</xdr:colOff>
      <xdr:row>32</xdr:row>
      <xdr:rowOff>76200</xdr:rowOff>
    </xdr:from>
    <xdr:to>
      <xdr:col>150</xdr:col>
      <xdr:colOff>0</xdr:colOff>
      <xdr:row>60</xdr:row>
      <xdr:rowOff>57150</xdr:rowOff>
    </xdr:to>
    <xdr:graphicFrame macro="">
      <xdr:nvGraphicFramePr>
        <xdr:cNvPr id="65544272" name="Chart 58">
          <a:extLst>
            <a:ext uri="{FF2B5EF4-FFF2-40B4-BE49-F238E27FC236}">
              <a16:creationId xmlns:a16="http://schemas.microsoft.com/office/drawing/2014/main" id="{00000000-0008-0000-0A00-0000502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131</xdr:col>
      <xdr:colOff>0</xdr:colOff>
      <xdr:row>65</xdr:row>
      <xdr:rowOff>95250</xdr:rowOff>
    </xdr:from>
    <xdr:to>
      <xdr:col>150</xdr:col>
      <xdr:colOff>0</xdr:colOff>
      <xdr:row>92</xdr:row>
      <xdr:rowOff>0</xdr:rowOff>
    </xdr:to>
    <xdr:graphicFrame macro="">
      <xdr:nvGraphicFramePr>
        <xdr:cNvPr id="65544273" name="Chart 59">
          <a:extLst>
            <a:ext uri="{FF2B5EF4-FFF2-40B4-BE49-F238E27FC236}">
              <a16:creationId xmlns:a16="http://schemas.microsoft.com/office/drawing/2014/main" id="{00000000-0008-0000-0A00-0000512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ari.setala@rktl.fi" TargetMode="External"/><Relationship Id="rId1" Type="http://schemas.openxmlformats.org/officeDocument/2006/relationships/hyperlink" Target="mailto:markus.kankainen@rktl.fi"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image" Target="../media/image2.jpeg"/></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image" Target="../media/image2.jpeg"/></Relationships>
</file>

<file path=xl/worksheets/_rels/sheet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image" Target="../media/image2.jpe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omments" Target="../comments6.xml"/><Relationship Id="rId4" Type="http://schemas.openxmlformats.org/officeDocument/2006/relationships/image" Target="../media/image2.jpeg"/></Relationships>
</file>

<file path=xl/worksheets/_rels/sheet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image" Target="../media/image2.jpe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3"/>
  <sheetViews>
    <sheetView showGridLines="0" zoomScaleNormal="100" zoomScaleSheetLayoutView="84" workbookViewId="0">
      <selection activeCell="Q48" sqref="Q48"/>
    </sheetView>
  </sheetViews>
  <sheetFormatPr defaultRowHeight="12.75" x14ac:dyDescent="0.2"/>
  <cols>
    <col min="1" max="1" width="10" style="864" customWidth="1"/>
    <col min="2" max="3" width="9.140625" style="864"/>
    <col min="4" max="4" width="12.140625" style="864" customWidth="1"/>
    <col min="5" max="6" width="9.140625" style="864"/>
    <col min="7" max="7" width="10.28515625" style="864" customWidth="1"/>
    <col min="8" max="8" width="22" style="864" customWidth="1"/>
    <col min="9" max="9" width="18.85546875" style="864" customWidth="1"/>
    <col min="10" max="10" width="3.5703125" style="864" customWidth="1"/>
    <col min="11" max="11" width="2.7109375" style="864" customWidth="1"/>
    <col min="12" max="12" width="6.85546875" style="864" customWidth="1"/>
    <col min="13" max="16384" width="9.140625" style="864"/>
  </cols>
  <sheetData>
    <row r="1" spans="1:13" s="889" customFormat="1" ht="21" thickBot="1" x14ac:dyDescent="0.35">
      <c r="A1" s="892" t="s">
        <v>483</v>
      </c>
      <c r="B1" s="891"/>
      <c r="C1" s="891"/>
      <c r="D1" s="891"/>
      <c r="E1" s="891"/>
      <c r="F1" s="891"/>
      <c r="G1" s="891"/>
      <c r="H1" s="890"/>
      <c r="I1" s="891"/>
      <c r="J1" s="891"/>
      <c r="K1" s="890"/>
      <c r="L1" s="891"/>
      <c r="M1" s="890"/>
    </row>
    <row r="2" spans="1:13" ht="14.25" customHeight="1" x14ac:dyDescent="0.2">
      <c r="A2" s="888" t="s">
        <v>482</v>
      </c>
    </row>
    <row r="3" spans="1:13" s="868" customFormat="1" ht="14.25" customHeight="1" x14ac:dyDescent="0.2">
      <c r="A3" s="868" t="s">
        <v>481</v>
      </c>
    </row>
    <row r="4" spans="1:13" s="868" customFormat="1" ht="14.25" customHeight="1" x14ac:dyDescent="0.2"/>
    <row r="5" spans="1:13" s="868" customFormat="1" ht="14.25" customHeight="1" x14ac:dyDescent="0.2">
      <c r="A5" s="868" t="s">
        <v>480</v>
      </c>
    </row>
    <row r="6" spans="1:13" s="868" customFormat="1" ht="14.25" customHeight="1" x14ac:dyDescent="0.2">
      <c r="A6" s="868" t="s">
        <v>479</v>
      </c>
    </row>
    <row r="7" spans="1:13" s="868" customFormat="1" x14ac:dyDescent="0.2"/>
    <row r="8" spans="1:13" s="868" customFormat="1" x14ac:dyDescent="0.2">
      <c r="A8" s="868" t="s">
        <v>640</v>
      </c>
    </row>
    <row r="9" spans="1:13" s="868" customFormat="1" ht="15" customHeight="1" x14ac:dyDescent="0.2"/>
    <row r="10" spans="1:13" s="868" customFormat="1" ht="18" customHeight="1" x14ac:dyDescent="0.2"/>
    <row r="11" spans="1:13" s="868" customFormat="1" x14ac:dyDescent="0.2">
      <c r="A11" s="868" t="s">
        <v>478</v>
      </c>
    </row>
    <row r="12" spans="1:13" s="868" customFormat="1" ht="18" customHeight="1" x14ac:dyDescent="0.2"/>
    <row r="13" spans="1:13" s="868" customFormat="1" x14ac:dyDescent="0.2">
      <c r="A13" s="868" t="s">
        <v>599</v>
      </c>
    </row>
    <row r="14" spans="1:13" s="868" customFormat="1" x14ac:dyDescent="0.2">
      <c r="A14" s="868" t="s">
        <v>460</v>
      </c>
    </row>
    <row r="15" spans="1:13" s="868" customFormat="1" ht="13.5" customHeight="1" x14ac:dyDescent="0.2"/>
    <row r="16" spans="1:13" s="868" customFormat="1" x14ac:dyDescent="0.2">
      <c r="A16" s="868" t="s">
        <v>554</v>
      </c>
    </row>
    <row r="17" spans="1:8" s="868" customFormat="1" ht="13.5" customHeight="1" x14ac:dyDescent="0.2"/>
    <row r="18" spans="1:8" x14ac:dyDescent="0.2">
      <c r="A18" s="868" t="s">
        <v>477</v>
      </c>
    </row>
    <row r="20" spans="1:8" x14ac:dyDescent="0.2">
      <c r="A20" s="867">
        <v>1</v>
      </c>
      <c r="B20" s="868" t="s">
        <v>476</v>
      </c>
      <c r="C20" s="868"/>
      <c r="D20" s="868"/>
      <c r="E20" s="868"/>
    </row>
    <row r="21" spans="1:8" x14ac:dyDescent="0.2">
      <c r="A21" s="867">
        <v>2</v>
      </c>
      <c r="B21" s="868" t="s">
        <v>555</v>
      </c>
      <c r="C21" s="868"/>
      <c r="D21" s="868"/>
      <c r="E21" s="868"/>
    </row>
    <row r="22" spans="1:8" x14ac:dyDescent="0.2">
      <c r="A22" s="867">
        <v>3</v>
      </c>
      <c r="B22" s="868" t="s">
        <v>636</v>
      </c>
      <c r="C22" s="868"/>
      <c r="D22" s="868"/>
      <c r="E22" s="868"/>
    </row>
    <row r="23" spans="1:8" x14ac:dyDescent="0.2">
      <c r="A23" s="867">
        <v>4</v>
      </c>
      <c r="B23" s="868" t="s">
        <v>637</v>
      </c>
      <c r="C23" s="868"/>
      <c r="D23" s="868"/>
      <c r="E23" s="868"/>
    </row>
    <row r="24" spans="1:8" x14ac:dyDescent="0.2">
      <c r="A24" s="867">
        <v>5</v>
      </c>
      <c r="B24" s="868" t="s">
        <v>475</v>
      </c>
      <c r="C24" s="868"/>
      <c r="D24" s="868"/>
      <c r="E24" s="868"/>
    </row>
    <row r="25" spans="1:8" x14ac:dyDescent="0.2">
      <c r="A25" s="867">
        <v>6</v>
      </c>
      <c r="B25" s="868" t="s">
        <v>474</v>
      </c>
      <c r="C25" s="868"/>
      <c r="D25" s="868"/>
      <c r="E25" s="868"/>
    </row>
    <row r="26" spans="1:8" x14ac:dyDescent="0.2">
      <c r="C26" s="868"/>
      <c r="D26" s="868"/>
      <c r="E26" s="868"/>
    </row>
    <row r="27" spans="1:8" x14ac:dyDescent="0.2">
      <c r="A27" s="867">
        <v>7</v>
      </c>
      <c r="B27" s="868" t="s">
        <v>473</v>
      </c>
      <c r="C27" s="868"/>
      <c r="D27" s="868"/>
      <c r="E27" s="868"/>
    </row>
    <row r="28" spans="1:8" x14ac:dyDescent="0.2">
      <c r="A28" s="868"/>
      <c r="B28" s="868"/>
      <c r="C28" s="868"/>
      <c r="D28" s="868"/>
      <c r="E28" s="868"/>
    </row>
    <row r="29" spans="1:8" x14ac:dyDescent="0.2">
      <c r="A29" s="868"/>
      <c r="B29" s="868"/>
      <c r="C29" s="868"/>
      <c r="D29" s="868"/>
      <c r="E29" s="868"/>
    </row>
    <row r="30" spans="1:8" x14ac:dyDescent="0.2">
      <c r="A30" s="868" t="s">
        <v>472</v>
      </c>
    </row>
    <row r="32" spans="1:8" x14ac:dyDescent="0.2">
      <c r="A32" s="868" t="s">
        <v>471</v>
      </c>
      <c r="F32" s="1412"/>
      <c r="H32" s="868"/>
    </row>
    <row r="33" spans="1:13" ht="13.5" thickBot="1" x14ac:dyDescent="0.25">
      <c r="A33" s="868" t="s">
        <v>470</v>
      </c>
      <c r="G33" s="868"/>
    </row>
    <row r="34" spans="1:13" ht="16.5" thickBot="1" x14ac:dyDescent="0.3">
      <c r="G34" s="868"/>
      <c r="H34" s="887" t="s">
        <v>469</v>
      </c>
      <c r="I34" s="886" t="s">
        <v>1</v>
      </c>
      <c r="K34" s="885"/>
      <c r="L34" s="884"/>
    </row>
    <row r="35" spans="1:13" x14ac:dyDescent="0.2">
      <c r="A35" s="868" t="s">
        <v>468</v>
      </c>
      <c r="F35" s="883"/>
      <c r="H35" s="882" t="s">
        <v>467</v>
      </c>
      <c r="I35" s="881">
        <v>100</v>
      </c>
      <c r="K35" s="880"/>
      <c r="L35" s="879"/>
    </row>
    <row r="36" spans="1:13" ht="13.5" thickBot="1" x14ac:dyDescent="0.25">
      <c r="F36" s="878"/>
      <c r="G36" s="875"/>
      <c r="H36" s="877" t="s">
        <v>466</v>
      </c>
      <c r="I36" s="876">
        <v>5.5</v>
      </c>
      <c r="K36" s="872"/>
      <c r="M36" s="871" t="s">
        <v>465</v>
      </c>
    </row>
    <row r="37" spans="1:13" ht="13.5" thickBot="1" x14ac:dyDescent="0.25">
      <c r="G37" s="875"/>
      <c r="H37" s="874" t="s">
        <v>464</v>
      </c>
      <c r="I37" s="873">
        <f>I35*I36</f>
        <v>550</v>
      </c>
      <c r="K37" s="872"/>
      <c r="M37" s="871"/>
    </row>
    <row r="38" spans="1:13" x14ac:dyDescent="0.2">
      <c r="A38" s="868" t="s">
        <v>463</v>
      </c>
      <c r="B38" s="868"/>
      <c r="C38" s="868"/>
      <c r="D38" s="868"/>
      <c r="F38" s="870"/>
    </row>
    <row r="39" spans="1:13" x14ac:dyDescent="0.2">
      <c r="A39" s="868"/>
      <c r="B39" s="868"/>
      <c r="C39" s="868"/>
      <c r="D39" s="868"/>
    </row>
    <row r="40" spans="1:13" x14ac:dyDescent="0.2">
      <c r="A40" s="868" t="s">
        <v>462</v>
      </c>
      <c r="L40" s="869"/>
    </row>
    <row r="41" spans="1:13" x14ac:dyDescent="0.2">
      <c r="A41" s="868" t="s">
        <v>461</v>
      </c>
    </row>
    <row r="42" spans="1:13" x14ac:dyDescent="0.2">
      <c r="A42" s="868"/>
    </row>
    <row r="44" spans="1:13" x14ac:dyDescent="0.2">
      <c r="A44" s="868" t="s">
        <v>459</v>
      </c>
    </row>
    <row r="46" spans="1:13" x14ac:dyDescent="0.2">
      <c r="A46" s="868" t="s">
        <v>458</v>
      </c>
      <c r="B46" s="868"/>
      <c r="C46" s="867" t="s">
        <v>455</v>
      </c>
      <c r="D46" s="866" t="s">
        <v>641</v>
      </c>
      <c r="E46" s="865" t="s">
        <v>457</v>
      </c>
    </row>
    <row r="47" spans="1:13" x14ac:dyDescent="0.2">
      <c r="A47" s="868" t="s">
        <v>456</v>
      </c>
      <c r="B47" s="868"/>
      <c r="C47" s="867" t="s">
        <v>455</v>
      </c>
      <c r="D47" s="866" t="s">
        <v>642</v>
      </c>
      <c r="E47" s="865" t="s">
        <v>454</v>
      </c>
    </row>
    <row r="53" spans="4:4" x14ac:dyDescent="0.2">
      <c r="D53" s="864" t="s">
        <v>440</v>
      </c>
    </row>
  </sheetData>
  <sheetProtection password="C576" sheet="1" objects="1" scenarios="1"/>
  <hyperlinks>
    <hyperlink ref="E47" r:id="rId1" xr:uid="{00000000-0004-0000-0000-000000000000}"/>
    <hyperlink ref="E46" r:id="rId2" xr:uid="{00000000-0004-0000-0000-000001000000}"/>
  </hyperlinks>
  <pageMargins left="0.74803149606299213" right="0.74803149606299213" top="0.98425196850393704" bottom="0.98425196850393704" header="0.51181102362204722" footer="0.51181102362204722"/>
  <pageSetup paperSize="9" scale="67" orientation="landscape" r:id="rId3"/>
  <headerFooter alignWithMargins="0"/>
  <ignoredErrors>
    <ignoredError sqref="D46:D47" numberStoredAsText="1"/>
  </ignoredErrors>
  <drawing r:id="rId4"/>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L63"/>
  <sheetViews>
    <sheetView showGridLines="0" zoomScaleNormal="100" zoomScalePageLayoutView="50" workbookViewId="0">
      <selection activeCell="M18" sqref="M18"/>
    </sheetView>
  </sheetViews>
  <sheetFormatPr defaultRowHeight="12.75" x14ac:dyDescent="0.2"/>
  <cols>
    <col min="1" max="1" width="4.7109375" customWidth="1"/>
    <col min="2" max="2" width="30.28515625" customWidth="1"/>
    <col min="3" max="3" width="12.7109375" customWidth="1"/>
    <col min="4" max="4" width="6.7109375" style="179" customWidth="1"/>
    <col min="5" max="5" width="15.140625" style="179" customWidth="1"/>
    <col min="6" max="6" width="6.7109375" style="179" customWidth="1"/>
    <col min="7" max="7" width="14.85546875" style="179" customWidth="1"/>
    <col min="8" max="8" width="6.5703125" style="179" customWidth="1"/>
    <col min="9" max="9" width="15" style="179" customWidth="1"/>
    <col min="10" max="10" width="6.7109375" style="179" customWidth="1"/>
    <col min="11" max="11" width="15.140625" customWidth="1"/>
    <col min="12" max="12" width="6.7109375" style="179" customWidth="1"/>
    <col min="13" max="13" width="14.42578125" customWidth="1"/>
    <col min="14" max="14" width="6.7109375" style="179" customWidth="1"/>
    <col min="15" max="15" width="14.5703125" style="171" customWidth="1"/>
    <col min="16" max="16" width="6.7109375" style="179" customWidth="1"/>
    <col min="17" max="17" width="10.5703125" customWidth="1"/>
    <col min="22" max="22" width="14.5703125" customWidth="1"/>
    <col min="29" max="29" width="8.42578125" customWidth="1"/>
    <col min="30" max="30" width="3.42578125" customWidth="1"/>
    <col min="31" max="31" width="20.28515625" style="34" bestFit="1" customWidth="1"/>
    <col min="32" max="32" width="14.42578125" customWidth="1"/>
    <col min="33" max="38" width="13.85546875" customWidth="1"/>
  </cols>
  <sheetData>
    <row r="1" spans="2:38" ht="13.5" thickBot="1" x14ac:dyDescent="0.25"/>
    <row r="2" spans="2:38" ht="21" thickBot="1" x14ac:dyDescent="0.35">
      <c r="B2" s="1" t="s">
        <v>216</v>
      </c>
      <c r="C2" s="11"/>
      <c r="D2"/>
      <c r="E2"/>
      <c r="F2"/>
      <c r="G2" s="319" t="s">
        <v>1</v>
      </c>
      <c r="H2"/>
      <c r="I2"/>
      <c r="J2"/>
    </row>
    <row r="4" spans="2:38" ht="13.5" thickBot="1" x14ac:dyDescent="0.25"/>
    <row r="5" spans="2:38" ht="13.5" thickBot="1" x14ac:dyDescent="0.25">
      <c r="B5" s="94" t="s">
        <v>221</v>
      </c>
      <c r="C5" s="181" t="s">
        <v>40</v>
      </c>
      <c r="D5" s="178"/>
      <c r="E5" s="1654" t="s">
        <v>230</v>
      </c>
      <c r="F5" s="1655"/>
      <c r="G5" s="1655"/>
      <c r="H5" s="1655"/>
      <c r="I5" s="1655"/>
      <c r="J5" s="1655"/>
      <c r="K5" s="1655"/>
      <c r="L5" s="1655"/>
      <c r="M5" s="1655"/>
      <c r="N5" s="1655"/>
      <c r="O5" s="1655"/>
      <c r="P5" s="1656"/>
    </row>
    <row r="6" spans="2:38" ht="13.5" thickBot="1" x14ac:dyDescent="0.25">
      <c r="B6" s="95"/>
      <c r="C6" s="182" t="s">
        <v>229</v>
      </c>
      <c r="D6" s="184"/>
      <c r="E6" s="797" t="str">
        <f>'2.1 Verkkopyynti'!D4</f>
        <v>Verkko1</v>
      </c>
      <c r="F6" s="798"/>
      <c r="G6" s="797" t="str">
        <f>'2.1 Verkkopyynti'!D62</f>
        <v>Verkko2</v>
      </c>
      <c r="H6" s="798"/>
      <c r="I6" s="797" t="str">
        <f>'2.2 Rysäpyynti'!D4</f>
        <v>Isorysä1</v>
      </c>
      <c r="J6" s="798"/>
      <c r="K6" s="797" t="str">
        <f>'2.2 Rysäpyynti'!D105</f>
        <v>Isorysä2</v>
      </c>
      <c r="L6" s="798"/>
      <c r="M6" s="797" t="str">
        <f>'2.2 Rysäpyynti'!K4</f>
        <v>PU-rysä1</v>
      </c>
      <c r="N6" s="347"/>
      <c r="O6" s="797" t="str">
        <f>'2.2 Rysäpyynti'!K105</f>
        <v>PU-rysä2</v>
      </c>
      <c r="P6" s="347"/>
      <c r="AE6" s="103" t="s">
        <v>231</v>
      </c>
      <c r="AF6" s="399" t="s">
        <v>218</v>
      </c>
      <c r="AG6" s="809" t="str">
        <f>E6</f>
        <v>Verkko1</v>
      </c>
      <c r="AH6" s="809" t="str">
        <f>G6</f>
        <v>Verkko2</v>
      </c>
      <c r="AI6" s="809" t="str">
        <f>I6</f>
        <v>Isorysä1</v>
      </c>
      <c r="AJ6" s="809" t="str">
        <f>K6</f>
        <v>Isorysä2</v>
      </c>
      <c r="AK6" s="809" t="str">
        <f>M6</f>
        <v>PU-rysä1</v>
      </c>
      <c r="AL6" s="809" t="str">
        <f>O6</f>
        <v>PU-rysä2</v>
      </c>
    </row>
    <row r="7" spans="2:38" ht="13.5" thickBot="1" x14ac:dyDescent="0.25">
      <c r="B7" s="8" t="s">
        <v>217</v>
      </c>
      <c r="C7" s="177" t="s">
        <v>145</v>
      </c>
      <c r="D7" s="183" t="s">
        <v>215</v>
      </c>
      <c r="E7" s="361" t="s">
        <v>145</v>
      </c>
      <c r="F7" s="801" t="s">
        <v>215</v>
      </c>
      <c r="G7" s="177" t="s">
        <v>145</v>
      </c>
      <c r="H7" s="183" t="s">
        <v>215</v>
      </c>
      <c r="I7" s="177" t="s">
        <v>145</v>
      </c>
      <c r="J7" s="183" t="s">
        <v>215</v>
      </c>
      <c r="K7" s="177" t="s">
        <v>145</v>
      </c>
      <c r="L7" s="183" t="s">
        <v>215</v>
      </c>
      <c r="M7" s="177" t="s">
        <v>145</v>
      </c>
      <c r="N7" s="186" t="s">
        <v>215</v>
      </c>
      <c r="O7" s="177" t="s">
        <v>145</v>
      </c>
      <c r="P7" s="186" t="s">
        <v>215</v>
      </c>
      <c r="AE7" s="44" t="s">
        <v>223</v>
      </c>
      <c r="AF7" s="449">
        <f>-C12</f>
        <v>0</v>
      </c>
      <c r="AG7" s="529">
        <f>-E12</f>
        <v>0</v>
      </c>
      <c r="AH7" s="529">
        <f>-G12</f>
        <v>0</v>
      </c>
      <c r="AI7" s="529">
        <f>-I12</f>
        <v>0</v>
      </c>
      <c r="AJ7" s="529">
        <f>-K12</f>
        <v>0</v>
      </c>
      <c r="AK7" s="529">
        <f>-M12</f>
        <v>0</v>
      </c>
      <c r="AL7" s="529">
        <f>-O12</f>
        <v>0</v>
      </c>
    </row>
    <row r="8" spans="2:38" x14ac:dyDescent="0.2">
      <c r="B8" s="3" t="s">
        <v>224</v>
      </c>
      <c r="C8" s="648">
        <f>SUM(E8+G8+I8+K8+M8+O8)</f>
        <v>0</v>
      </c>
      <c r="D8" s="799">
        <f>IF(C10=0,0,C8/$C$10*100)</f>
        <v>0</v>
      </c>
      <c r="E8" s="802">
        <f>'4 Myynti'!CL42</f>
        <v>0</v>
      </c>
      <c r="F8" s="803">
        <f>IF(E10=0,0,E8/$E$10*100)</f>
        <v>0</v>
      </c>
      <c r="G8" s="802">
        <f>'4 Myynti'!CL65</f>
        <v>0</v>
      </c>
      <c r="H8" s="803">
        <f>IF(G10=0,0,G8/$G$10*100)</f>
        <v>0</v>
      </c>
      <c r="I8" s="802">
        <f>'4 Myynti'!CL88</f>
        <v>0</v>
      </c>
      <c r="J8" s="803">
        <f>IF(I10=0,0,I8/$I$10*100)</f>
        <v>0</v>
      </c>
      <c r="K8" s="802">
        <f>'4 Myynti'!CL111</f>
        <v>0</v>
      </c>
      <c r="L8" s="803">
        <f>IF(K10=0,0,K8/$K$10*100)</f>
        <v>0</v>
      </c>
      <c r="M8" s="802">
        <f>'4 Myynti'!CL134</f>
        <v>0</v>
      </c>
      <c r="N8" s="803">
        <f>IF(M10=0,0,M8/$M$10*100)</f>
        <v>0</v>
      </c>
      <c r="O8" s="802">
        <f>'4 Myynti'!CL157</f>
        <v>0</v>
      </c>
      <c r="P8" s="803">
        <f>IF(O10=0,0,O8/$O$10*100)</f>
        <v>0</v>
      </c>
      <c r="AE8" s="28" t="s">
        <v>225</v>
      </c>
      <c r="AF8" s="450">
        <f>-C13</f>
        <v>0</v>
      </c>
      <c r="AG8" s="525">
        <f>-E13</f>
        <v>0</v>
      </c>
      <c r="AH8" s="525">
        <f>-G13</f>
        <v>0</v>
      </c>
      <c r="AI8" s="525">
        <f>-I13</f>
        <v>0</v>
      </c>
      <c r="AJ8" s="525">
        <f>-K13</f>
        <v>0</v>
      </c>
      <c r="AK8" s="525">
        <f>-M13</f>
        <v>0</v>
      </c>
      <c r="AL8" s="525">
        <f>-O13</f>
        <v>0</v>
      </c>
    </row>
    <row r="9" spans="2:38" ht="13.5" thickBot="1" x14ac:dyDescent="0.25">
      <c r="B9" s="3" t="s">
        <v>220</v>
      </c>
      <c r="C9" s="648">
        <f>E9+G9+I9+K9+M9+O9</f>
        <v>0</v>
      </c>
      <c r="D9" s="800">
        <f>IF(C10=0,0,C9/$C$10*100)</f>
        <v>0</v>
      </c>
      <c r="E9" s="1196"/>
      <c r="F9" s="804">
        <f>IF(E10=0,0,E9/$E$10*100)</f>
        <v>0</v>
      </c>
      <c r="G9" s="1196">
        <v>0</v>
      </c>
      <c r="H9" s="804">
        <f>IF(G10=0,0,G9/$G$10*100)</f>
        <v>0</v>
      </c>
      <c r="I9" s="1196"/>
      <c r="J9" s="804">
        <f>IF(I10=0,0,I9/$I$10*100)</f>
        <v>0</v>
      </c>
      <c r="K9" s="1196"/>
      <c r="L9" s="804">
        <f>IF(K10=0,0,K9/$K$10*100)</f>
        <v>0</v>
      </c>
      <c r="M9" s="1196"/>
      <c r="N9" s="804">
        <f>IF(M10=0,0,M9/$M$10*100)</f>
        <v>0</v>
      </c>
      <c r="O9" s="1196"/>
      <c r="P9" s="804">
        <f>IF(O10=0,0,O9/$O$10*100)</f>
        <v>0</v>
      </c>
      <c r="AE9" s="28" t="s">
        <v>227</v>
      </c>
      <c r="AF9" s="450">
        <f>-C15</f>
        <v>0</v>
      </c>
      <c r="AG9" s="525">
        <f>-E15</f>
        <v>0</v>
      </c>
      <c r="AH9" s="525">
        <f>-G15</f>
        <v>0</v>
      </c>
      <c r="AI9" s="525">
        <f>-I15</f>
        <v>0</v>
      </c>
      <c r="AJ9" s="525">
        <f>-K15</f>
        <v>0</v>
      </c>
      <c r="AK9" s="525">
        <f>-M15</f>
        <v>0</v>
      </c>
      <c r="AL9" s="525">
        <f>-O15</f>
        <v>0</v>
      </c>
    </row>
    <row r="10" spans="2:38" s="34" customFormat="1" ht="13.5" thickBot="1" x14ac:dyDescent="0.25">
      <c r="B10" s="8" t="s">
        <v>219</v>
      </c>
      <c r="C10" s="650">
        <f>SUM(C8:C9)</f>
        <v>0</v>
      </c>
      <c r="D10" s="796">
        <f>IF(C10=0,0,C10/$C$10*100)</f>
        <v>0</v>
      </c>
      <c r="E10" s="650">
        <f>SUM(E8:E9)</f>
        <v>0</v>
      </c>
      <c r="F10" s="704">
        <f>IF(E10=0,0,E10/$E$10*100)</f>
        <v>0</v>
      </c>
      <c r="G10" s="650">
        <f>SUM(G8:G9)</f>
        <v>0</v>
      </c>
      <c r="H10" s="704">
        <f>IF(G10=0,0,G10/$G$10*100)</f>
        <v>0</v>
      </c>
      <c r="I10" s="650">
        <f>SUM(I8:I9)</f>
        <v>0</v>
      </c>
      <c r="J10" s="704">
        <f>IF(I10=0,0,I10/$I$10*100)</f>
        <v>0</v>
      </c>
      <c r="K10" s="650">
        <f>SUM(K8:K9)</f>
        <v>0</v>
      </c>
      <c r="L10" s="704">
        <f>IF(K10=0,0,K10/$K$10*100)</f>
        <v>0</v>
      </c>
      <c r="M10" s="650">
        <f>SUM(M8:M9)</f>
        <v>0</v>
      </c>
      <c r="N10" s="704">
        <f>IF(M10=0,0,M10/$M$10*100)</f>
        <v>0</v>
      </c>
      <c r="O10" s="650">
        <f>SUM(O8:O9)</f>
        <v>0</v>
      </c>
      <c r="P10" s="704">
        <f>IF(O10=0,0,O10/$O$10*100)</f>
        <v>0</v>
      </c>
      <c r="AD10"/>
      <c r="AE10" s="28" t="s">
        <v>228</v>
      </c>
      <c r="AF10" s="510">
        <f>-C16</f>
        <v>0</v>
      </c>
      <c r="AG10" s="439">
        <f>-E16</f>
        <v>0</v>
      </c>
      <c r="AH10" s="439">
        <f>-G16</f>
        <v>0</v>
      </c>
      <c r="AI10" s="439">
        <f>-I16</f>
        <v>0</v>
      </c>
      <c r="AJ10" s="439">
        <f>-K16</f>
        <v>0</v>
      </c>
      <c r="AK10" s="439">
        <f>-M16</f>
        <v>0</v>
      </c>
      <c r="AL10" s="439">
        <f>-O16</f>
        <v>0</v>
      </c>
    </row>
    <row r="11" spans="2:38" ht="13.5" thickBot="1" x14ac:dyDescent="0.25">
      <c r="B11" s="8" t="s">
        <v>222</v>
      </c>
      <c r="C11" s="650">
        <f>C12+C13+C15+C16</f>
        <v>0</v>
      </c>
      <c r="D11" s="799">
        <f>IF(C10=0,0,C11/$C$10*100)</f>
        <v>0</v>
      </c>
      <c r="E11" s="650">
        <f>E12+E13+E15+E16</f>
        <v>0</v>
      </c>
      <c r="F11" s="704">
        <f>IF(E10=0,0,E11/$E$10*100)</f>
        <v>0</v>
      </c>
      <c r="G11" s="650">
        <f>G12+G13+G15+G16</f>
        <v>0</v>
      </c>
      <c r="H11" s="704">
        <f>IF(G10=0,0,G11/$G$10*100)</f>
        <v>0</v>
      </c>
      <c r="I11" s="650">
        <f>I12+I13+I15+I16</f>
        <v>0</v>
      </c>
      <c r="J11" s="704">
        <f>IF(I10=0,0,I11/$I$10*100)</f>
        <v>0</v>
      </c>
      <c r="K11" s="650">
        <f>K12+K13+K15+K16</f>
        <v>0</v>
      </c>
      <c r="L11" s="704">
        <f>IF(K10=0,0,K11/$K$10*100)</f>
        <v>0</v>
      </c>
      <c r="M11" s="650">
        <f>M12+M13+M15+M16</f>
        <v>0</v>
      </c>
      <c r="N11" s="704">
        <f>IF(M10=0,0,M11/$M$10*100)</f>
        <v>0</v>
      </c>
      <c r="O11" s="650">
        <f>O12+O13+O15+O16</f>
        <v>0</v>
      </c>
      <c r="P11" s="704">
        <f>IF(O10=0,0,O11/$O$10*100)</f>
        <v>0</v>
      </c>
      <c r="AE11" s="28" t="s">
        <v>432</v>
      </c>
      <c r="AF11" s="451">
        <f>C17</f>
        <v>0</v>
      </c>
      <c r="AG11" s="532">
        <f>E17</f>
        <v>0</v>
      </c>
      <c r="AH11" s="532">
        <f>G17</f>
        <v>0</v>
      </c>
      <c r="AI11" s="532">
        <f>I17</f>
        <v>0</v>
      </c>
      <c r="AJ11" s="532">
        <f>K17</f>
        <v>0</v>
      </c>
      <c r="AK11" s="532">
        <f>M17</f>
        <v>0</v>
      </c>
      <c r="AL11" s="532">
        <f>O17</f>
        <v>0</v>
      </c>
    </row>
    <row r="12" spans="2:38" ht="13.5" thickBot="1" x14ac:dyDescent="0.25">
      <c r="B12" s="12" t="s">
        <v>223</v>
      </c>
      <c r="C12" s="649">
        <f>-'6 Muuttuvat kustannukset'!U29</f>
        <v>0</v>
      </c>
      <c r="D12" s="799">
        <f>IF(C10=0,0,C12/$C$10*100)</f>
        <v>0</v>
      </c>
      <c r="E12" s="649">
        <f>-'6 Muuttuvat kustannukset'!E29</f>
        <v>0</v>
      </c>
      <c r="F12" s="703">
        <f>IF(E10=0,0,E12/$E$10*100)</f>
        <v>0</v>
      </c>
      <c r="G12" s="649">
        <f>-'6 Muuttuvat kustannukset'!H29</f>
        <v>0</v>
      </c>
      <c r="H12" s="703">
        <f>IF(G10=0,0,G12/$G$10*100)</f>
        <v>0</v>
      </c>
      <c r="I12" s="649">
        <f>-'6 Muuttuvat kustannukset'!K29</f>
        <v>0</v>
      </c>
      <c r="J12" s="703">
        <f>IF(I10=0,0,I12/$I$10*100)</f>
        <v>0</v>
      </c>
      <c r="K12" s="649">
        <f>-'6 Muuttuvat kustannukset'!N29</f>
        <v>0</v>
      </c>
      <c r="L12" s="703">
        <f>IF(K10=0,0,K12/$K$10*100)</f>
        <v>0</v>
      </c>
      <c r="M12" s="649">
        <f>-'6 Muuttuvat kustannukset'!Q29</f>
        <v>0</v>
      </c>
      <c r="N12" s="703">
        <f>IF(M10=0,0,M12/$M$10*100)</f>
        <v>0</v>
      </c>
      <c r="O12" s="649">
        <f>-'6 Muuttuvat kustannukset'!T29</f>
        <v>0</v>
      </c>
      <c r="P12" s="703">
        <f>IF(O10=0,0,O12/$O$10*100)</f>
        <v>0</v>
      </c>
      <c r="AE12" s="30" t="s">
        <v>107</v>
      </c>
      <c r="AF12" s="416">
        <f>SUM(AF7:AF11)</f>
        <v>0</v>
      </c>
      <c r="AG12" s="539">
        <f t="shared" ref="AG12:AL12" si="0">SUM(AG7:AG11)</f>
        <v>0</v>
      </c>
      <c r="AH12" s="539">
        <f t="shared" si="0"/>
        <v>0</v>
      </c>
      <c r="AI12" s="539">
        <f t="shared" si="0"/>
        <v>0</v>
      </c>
      <c r="AJ12" s="539">
        <f t="shared" si="0"/>
        <v>0</v>
      </c>
      <c r="AK12" s="539">
        <f t="shared" si="0"/>
        <v>0</v>
      </c>
      <c r="AL12" s="539">
        <f t="shared" si="0"/>
        <v>0</v>
      </c>
    </row>
    <row r="13" spans="2:38" ht="13.5" thickBot="1" x14ac:dyDescent="0.25">
      <c r="B13" s="12" t="s">
        <v>225</v>
      </c>
      <c r="C13" s="651">
        <f>-'7 Kiinteät kustannukset'!S29</f>
        <v>0</v>
      </c>
      <c r="D13" s="800">
        <f>IF(C10=0,0,C13/$C$10*100)</f>
        <v>0</v>
      </c>
      <c r="E13" s="651">
        <f>-'7 Kiinteät kustannukset'!M29</f>
        <v>0</v>
      </c>
      <c r="F13" s="804">
        <f>IF(E10=0,0,E13/$E$10*100)</f>
        <v>0</v>
      </c>
      <c r="G13" s="651">
        <f>-'7 Kiinteät kustannukset'!N29</f>
        <v>0</v>
      </c>
      <c r="H13" s="804">
        <f>IF(G10=0,0,G13/$G$10*100)</f>
        <v>0</v>
      </c>
      <c r="I13" s="651">
        <f>-'7 Kiinteät kustannukset'!O29</f>
        <v>0</v>
      </c>
      <c r="J13" s="804">
        <f>IF(I10=0,0,I13/$I$10*100)</f>
        <v>0</v>
      </c>
      <c r="K13" s="651">
        <f>-'7 Kiinteät kustannukset'!P29</f>
        <v>0</v>
      </c>
      <c r="L13" s="804">
        <f>IF(K10=0,0,K13/$K$10*100)</f>
        <v>0</v>
      </c>
      <c r="M13" s="651">
        <f>-'7 Kiinteät kustannukset'!Q29</f>
        <v>0</v>
      </c>
      <c r="N13" s="804">
        <f>IF(M10=0,0,M13/$M$10*100)</f>
        <v>0</v>
      </c>
      <c r="O13" s="651">
        <f>-'7 Kiinteät kustannukset'!R29</f>
        <v>0</v>
      </c>
      <c r="P13" s="804">
        <f>IF(O10=0,0,O13/$O$10*100)</f>
        <v>0</v>
      </c>
      <c r="AE13" s="30" t="s">
        <v>433</v>
      </c>
      <c r="AF13" s="414">
        <f>D17</f>
        <v>0</v>
      </c>
      <c r="AG13" s="414">
        <f>F17</f>
        <v>0</v>
      </c>
      <c r="AH13" s="414">
        <f>H17</f>
        <v>0</v>
      </c>
      <c r="AI13" s="414">
        <f>J17</f>
        <v>0</v>
      </c>
      <c r="AJ13" s="414">
        <f>L17</f>
        <v>0</v>
      </c>
      <c r="AK13" s="414">
        <f>N17</f>
        <v>0</v>
      </c>
      <c r="AL13" s="414">
        <f>P17</f>
        <v>0</v>
      </c>
    </row>
    <row r="14" spans="2:38" s="34" customFormat="1" ht="13.5" thickBot="1" x14ac:dyDescent="0.25">
      <c r="B14" s="282" t="s">
        <v>226</v>
      </c>
      <c r="C14" s="652">
        <f>C10+C12+C13</f>
        <v>0</v>
      </c>
      <c r="D14" s="796">
        <f>IF(C10=0,0,C14/$C$10*100)</f>
        <v>0</v>
      </c>
      <c r="E14" s="652">
        <f>E10+E12+E13</f>
        <v>0</v>
      </c>
      <c r="F14" s="704">
        <f>IF(E10=0,0,E14/$E$10*100)</f>
        <v>0</v>
      </c>
      <c r="G14" s="652">
        <f>G10+G12+G13</f>
        <v>0</v>
      </c>
      <c r="H14" s="704">
        <f>IF(G10=0,0,G14/$G$10*100)</f>
        <v>0</v>
      </c>
      <c r="I14" s="652">
        <f>I10+I12+I13</f>
        <v>0</v>
      </c>
      <c r="J14" s="704">
        <f>IF(I10=0,0,I14/$I$10*100)</f>
        <v>0</v>
      </c>
      <c r="K14" s="652">
        <f>K10+K12+K13</f>
        <v>0</v>
      </c>
      <c r="L14" s="704">
        <f>IF(K10=0,0,K14/$K$10*100)</f>
        <v>0</v>
      </c>
      <c r="M14" s="652">
        <f>M10+M12+M13</f>
        <v>0</v>
      </c>
      <c r="N14" s="704">
        <f>IF(M10=0,0,M14/$M$10*100)</f>
        <v>0</v>
      </c>
      <c r="O14" s="652">
        <f>O10+O12+O13</f>
        <v>0</v>
      </c>
      <c r="P14" s="704">
        <f>IF(O10=0,0,O14/$O$10*100)</f>
        <v>0</v>
      </c>
      <c r="AD14"/>
    </row>
    <row r="15" spans="2:38" x14ac:dyDescent="0.2">
      <c r="B15" s="12" t="s">
        <v>227</v>
      </c>
      <c r="C15" s="649">
        <f>-'7 Kiinteät kustannukset'!S46</f>
        <v>0</v>
      </c>
      <c r="D15" s="799">
        <f>IF(C10=0,0,C15/$C$10*100)</f>
        <v>0</v>
      </c>
      <c r="E15" s="649">
        <f>-'7 Kiinteät kustannukset'!M46</f>
        <v>0</v>
      </c>
      <c r="F15" s="703">
        <f>IF(E10=0,0,E15/$E$10*100)</f>
        <v>0</v>
      </c>
      <c r="G15" s="649">
        <f>-'7 Kiinteät kustannukset'!N46</f>
        <v>0</v>
      </c>
      <c r="H15" s="703">
        <f>IF(G10=0,0,G15/$G$10*100)</f>
        <v>0</v>
      </c>
      <c r="I15" s="649">
        <f>-'7 Kiinteät kustannukset'!O46</f>
        <v>0</v>
      </c>
      <c r="J15" s="703">
        <f>IF(I10=0,0,I15/$I$10*100)</f>
        <v>0</v>
      </c>
      <c r="K15" s="649">
        <f>-'7 Kiinteät kustannukset'!P46</f>
        <v>0</v>
      </c>
      <c r="L15" s="703">
        <f>IF(K10=0,0,K15/$K$10*100)</f>
        <v>0</v>
      </c>
      <c r="M15" s="649">
        <f>-'7 Kiinteät kustannukset'!Q46</f>
        <v>0</v>
      </c>
      <c r="N15" s="703">
        <f>IF(M10=0,0,M15/$M$10*100)</f>
        <v>0</v>
      </c>
      <c r="O15" s="649">
        <f>-'7 Kiinteät kustannukset'!R46</f>
        <v>0</v>
      </c>
      <c r="P15" s="703">
        <f>IF(O10=0,0,O15/$O$10*100)</f>
        <v>0</v>
      </c>
    </row>
    <row r="16" spans="2:38" ht="13.5" thickBot="1" x14ac:dyDescent="0.25">
      <c r="B16" s="12" t="s">
        <v>228</v>
      </c>
      <c r="C16" s="651">
        <f>-'7 Kiinteät kustannukset'!S73</f>
        <v>0</v>
      </c>
      <c r="D16" s="800">
        <f>IF(C10=0,0,C16/$C$10*100)</f>
        <v>0</v>
      </c>
      <c r="E16" s="651">
        <f>-'7 Kiinteät kustannukset'!M73</f>
        <v>0</v>
      </c>
      <c r="F16" s="804">
        <f>IF(E10=0,0,E16/$E$10*100)</f>
        <v>0</v>
      </c>
      <c r="G16" s="651">
        <f>-'7 Kiinteät kustannukset'!N73</f>
        <v>0</v>
      </c>
      <c r="H16" s="804">
        <f>IF(G10=0,0,G16/$G$10*100)</f>
        <v>0</v>
      </c>
      <c r="I16" s="651">
        <f>-'7 Kiinteät kustannukset'!O73</f>
        <v>0</v>
      </c>
      <c r="J16" s="804">
        <f>IF(I10=0,0,I16/$I$10*100)</f>
        <v>0</v>
      </c>
      <c r="K16" s="651">
        <f>-'7 Kiinteät kustannukset'!P73</f>
        <v>0</v>
      </c>
      <c r="L16" s="804">
        <f>IF(K10=0,0,K16/$K$10*100)</f>
        <v>0</v>
      </c>
      <c r="M16" s="651">
        <f>-'7 Kiinteät kustannukset'!Q73</f>
        <v>0</v>
      </c>
      <c r="N16" s="804">
        <f>IF(M10=0,0,M16/$M$10*100)</f>
        <v>0</v>
      </c>
      <c r="O16" s="651">
        <f>-'7 Kiinteät kustannukset'!R73</f>
        <v>0</v>
      </c>
      <c r="P16" s="804">
        <f>IF(O10=0,0,O16/$O$10*100)</f>
        <v>0</v>
      </c>
    </row>
    <row r="17" spans="2:30" s="34" customFormat="1" ht="13.5" thickBot="1" x14ac:dyDescent="0.25">
      <c r="B17" s="282" t="s">
        <v>432</v>
      </c>
      <c r="C17" s="652">
        <f>C14+C15+C16</f>
        <v>0</v>
      </c>
      <c r="D17" s="796">
        <f>IF(C10=0,0,C17/$C$10*100)</f>
        <v>0</v>
      </c>
      <c r="E17" s="652">
        <f>E14+E15+E16</f>
        <v>0</v>
      </c>
      <c r="F17" s="704">
        <f>IF(E10=0,0,E17/$E$10*100)</f>
        <v>0</v>
      </c>
      <c r="G17" s="652">
        <f>G14+G15+G16</f>
        <v>0</v>
      </c>
      <c r="H17" s="704">
        <f>IF(G10=0,0,G17/$G$10*100)</f>
        <v>0</v>
      </c>
      <c r="I17" s="652">
        <f>I14+I15+I16</f>
        <v>0</v>
      </c>
      <c r="J17" s="704">
        <f>IF(I10=0,0,I17/$I$10*100)</f>
        <v>0</v>
      </c>
      <c r="K17" s="652">
        <f>K14+K15+K16</f>
        <v>0</v>
      </c>
      <c r="L17" s="704">
        <f>IF(K10=0,0,K17/$K$10*100)</f>
        <v>0</v>
      </c>
      <c r="M17" s="652">
        <f>M14+M15+M16</f>
        <v>0</v>
      </c>
      <c r="N17" s="704">
        <f>IF(M10=0,0,M17/$M$10*100)</f>
        <v>0</v>
      </c>
      <c r="O17" s="652">
        <f>O14+O15+O16</f>
        <v>0</v>
      </c>
      <c r="P17" s="704">
        <f>IF(O10=0,0,O17/$O$10*100)</f>
        <v>0</v>
      </c>
      <c r="AD17"/>
    </row>
    <row r="18" spans="2:30" x14ac:dyDescent="0.2">
      <c r="D18"/>
      <c r="E18"/>
      <c r="F18"/>
      <c r="G18"/>
      <c r="H18"/>
      <c r="I18"/>
      <c r="J18"/>
      <c r="L18"/>
      <c r="N18"/>
      <c r="O18"/>
      <c r="P18"/>
    </row>
    <row r="19" spans="2:30" s="34" customFormat="1" x14ac:dyDescent="0.2">
      <c r="B19"/>
      <c r="C19"/>
      <c r="D19"/>
      <c r="E19"/>
      <c r="F19"/>
      <c r="G19"/>
      <c r="H19"/>
      <c r="I19"/>
      <c r="J19"/>
      <c r="K19"/>
      <c r="L19"/>
      <c r="M19"/>
      <c r="N19"/>
      <c r="O19"/>
      <c r="P19"/>
      <c r="AD19"/>
    </row>
    <row r="20" spans="2:30" ht="13.5" thickBot="1" x14ac:dyDescent="0.25">
      <c r="C20" s="27"/>
      <c r="D20" s="180"/>
      <c r="E20" s="180"/>
      <c r="F20" s="180"/>
      <c r="G20" s="180"/>
      <c r="H20" s="180"/>
      <c r="I20" s="180"/>
      <c r="J20" s="180"/>
      <c r="K20" s="27"/>
      <c r="L20" s="180"/>
      <c r="M20" s="27"/>
      <c r="N20" s="180"/>
      <c r="O20" s="175"/>
      <c r="P20" s="180"/>
    </row>
    <row r="21" spans="2:30" ht="13.5" thickBot="1" x14ac:dyDescent="0.25">
      <c r="B21" s="94" t="s">
        <v>221</v>
      </c>
      <c r="C21" s="181"/>
      <c r="D21" s="178"/>
      <c r="E21" s="1654" t="s">
        <v>230</v>
      </c>
      <c r="F21" s="1655"/>
      <c r="G21" s="1655"/>
      <c r="H21" s="1655"/>
      <c r="I21" s="1655"/>
      <c r="J21" s="1655"/>
      <c r="K21" s="1655"/>
      <c r="L21" s="1655"/>
      <c r="M21" s="1655"/>
      <c r="N21" s="1655"/>
      <c r="O21" s="1655"/>
      <c r="P21" s="178"/>
    </row>
    <row r="22" spans="2:30" ht="13.5" thickBot="1" x14ac:dyDescent="0.25">
      <c r="B22" s="280" t="s">
        <v>271</v>
      </c>
      <c r="C22" s="182"/>
      <c r="D22" s="184"/>
      <c r="E22" s="797" t="str">
        <f>E6</f>
        <v>Verkko1</v>
      </c>
      <c r="F22" s="798"/>
      <c r="G22" s="797" t="str">
        <f>G6</f>
        <v>Verkko2</v>
      </c>
      <c r="H22" s="798"/>
      <c r="I22" s="797" t="str">
        <f>I6</f>
        <v>Isorysä1</v>
      </c>
      <c r="J22" s="798"/>
      <c r="K22" s="797" t="str">
        <f>K6</f>
        <v>Isorysä2</v>
      </c>
      <c r="L22" s="798"/>
      <c r="M22" s="797" t="str">
        <f>M6</f>
        <v>PU-rysä1</v>
      </c>
      <c r="N22" s="347"/>
      <c r="O22" s="797" t="str">
        <f>O6</f>
        <v>PU-rysä2</v>
      </c>
      <c r="P22" s="347"/>
    </row>
    <row r="23" spans="2:30" ht="13.5" thickBot="1" x14ac:dyDescent="0.25">
      <c r="B23" s="280"/>
      <c r="C23" s="182"/>
      <c r="D23" s="184"/>
      <c r="E23" s="291" t="s">
        <v>272</v>
      </c>
      <c r="F23" s="1366">
        <f>'3 Saalis'!U69</f>
        <v>0</v>
      </c>
      <c r="G23" s="291" t="s">
        <v>272</v>
      </c>
      <c r="H23" s="1366">
        <f>'3 Saalis'!U91</f>
        <v>0</v>
      </c>
      <c r="I23" s="291" t="s">
        <v>270</v>
      </c>
      <c r="J23" s="1366">
        <f>'3 Saalis'!U113</f>
        <v>0</v>
      </c>
      <c r="K23" s="291" t="s">
        <v>270</v>
      </c>
      <c r="L23" s="1366">
        <f>'3 Saalis'!U135</f>
        <v>0</v>
      </c>
      <c r="M23" s="291" t="s">
        <v>270</v>
      </c>
      <c r="N23" s="1366">
        <f>'3 Saalis'!U157</f>
        <v>0</v>
      </c>
      <c r="O23" s="291" t="s">
        <v>270</v>
      </c>
      <c r="P23" s="1366">
        <f>'3 Saalis'!U179</f>
        <v>0</v>
      </c>
    </row>
    <row r="24" spans="2:30" ht="13.5" thickBot="1" x14ac:dyDescent="0.25">
      <c r="B24" s="8" t="s">
        <v>217</v>
      </c>
      <c r="C24" s="177"/>
      <c r="D24" s="183"/>
      <c r="E24" s="361" t="s">
        <v>145</v>
      </c>
      <c r="F24" s="801" t="s">
        <v>215</v>
      </c>
      <c r="G24" s="177" t="s">
        <v>145</v>
      </c>
      <c r="H24" s="183" t="s">
        <v>215</v>
      </c>
      <c r="I24" s="177" t="s">
        <v>145</v>
      </c>
      <c r="J24" s="183" t="s">
        <v>215</v>
      </c>
      <c r="K24" s="177" t="s">
        <v>145</v>
      </c>
      <c r="L24" s="183" t="s">
        <v>215</v>
      </c>
      <c r="M24" s="177" t="s">
        <v>145</v>
      </c>
      <c r="N24" s="186" t="s">
        <v>215</v>
      </c>
      <c r="O24" s="177" t="s">
        <v>145</v>
      </c>
      <c r="P24" s="186" t="s">
        <v>215</v>
      </c>
    </row>
    <row r="25" spans="2:30" x14ac:dyDescent="0.2">
      <c r="B25" s="3" t="s">
        <v>224</v>
      </c>
      <c r="C25" s="649"/>
      <c r="D25" s="805"/>
      <c r="E25" s="802">
        <f>IF(F23=0,0,E8/$F$23)</f>
        <v>0</v>
      </c>
      <c r="F25" s="803">
        <f>IF(E27=0,0,E25/$E$27*100)</f>
        <v>0</v>
      </c>
      <c r="G25" s="802">
        <f>IF(H23=0,0,G8/$H$23)</f>
        <v>0</v>
      </c>
      <c r="H25" s="803">
        <f>IF(G27=0,0,G25/$G$27*100)</f>
        <v>0</v>
      </c>
      <c r="I25" s="802">
        <f>IF(J23=0,0,I8/$J$23)</f>
        <v>0</v>
      </c>
      <c r="J25" s="803">
        <f>IF(I27=0,0,I25/$I$27*100)</f>
        <v>0</v>
      </c>
      <c r="K25" s="802">
        <f>IF(L23=0,0,K8/$L$23)</f>
        <v>0</v>
      </c>
      <c r="L25" s="803">
        <f>IF(K27=0,0,K25/$K$27*100)</f>
        <v>0</v>
      </c>
      <c r="M25" s="802">
        <f>IF(N23=0,0,M8/$N$23)</f>
        <v>0</v>
      </c>
      <c r="N25" s="803">
        <f>IF(M27=0,0,M25/$M$27*100)</f>
        <v>0</v>
      </c>
      <c r="O25" s="802">
        <f>IF(P23=0,0,O8/$P$23)</f>
        <v>0</v>
      </c>
      <c r="P25" s="803">
        <f>IF(O27=0,0,O25/$O$27*100)</f>
        <v>0</v>
      </c>
    </row>
    <row r="26" spans="2:30" ht="13.5" thickBot="1" x14ac:dyDescent="0.25">
      <c r="B26" s="3" t="s">
        <v>220</v>
      </c>
      <c r="C26" s="651"/>
      <c r="D26" s="806"/>
      <c r="E26" s="651">
        <f>IF(F23=0,0,E9/$F$23)</f>
        <v>0</v>
      </c>
      <c r="F26" s="804">
        <f>IF(E27=0,0,E26/$E$27*100)</f>
        <v>0</v>
      </c>
      <c r="G26" s="651">
        <f>IF(H23=0,0,G9/$H$23)</f>
        <v>0</v>
      </c>
      <c r="H26" s="804">
        <f>IF(G27=0,0,G26/$G$27*100)</f>
        <v>0</v>
      </c>
      <c r="I26" s="651">
        <f>IF(J23=0,0,I9/$J$23)</f>
        <v>0</v>
      </c>
      <c r="J26" s="804">
        <f>IF(I27=0,0,I26/$I$27*100)</f>
        <v>0</v>
      </c>
      <c r="K26" s="651">
        <f>IF(L23=0,0,K9/$L$23)</f>
        <v>0</v>
      </c>
      <c r="L26" s="804">
        <f>IF(K27=0,0,K26/$K$27*100)</f>
        <v>0</v>
      </c>
      <c r="M26" s="651">
        <f>IF(N23=0,0,M9/$N$23)</f>
        <v>0</v>
      </c>
      <c r="N26" s="804">
        <f>IF(M27=0,0,M26/$M$27*100)</f>
        <v>0</v>
      </c>
      <c r="O26" s="651">
        <f>IF(P23=0,0,O9/$P$23)</f>
        <v>0</v>
      </c>
      <c r="P26" s="804">
        <f>IF(O27=0,0,O26/$O$27*100)</f>
        <v>0</v>
      </c>
    </row>
    <row r="27" spans="2:30" ht="13.5" thickBot="1" x14ac:dyDescent="0.25">
      <c r="B27" s="8" t="s">
        <v>219</v>
      </c>
      <c r="C27" s="650"/>
      <c r="D27" s="807"/>
      <c r="E27" s="650">
        <f>IF(F23=0,0,E10/$F$23)</f>
        <v>0</v>
      </c>
      <c r="F27" s="704">
        <f>IF(E27=0,0,E27/$E$27*100)</f>
        <v>0</v>
      </c>
      <c r="G27" s="650">
        <f>IF(H23=0,0,G10/$H$23)</f>
        <v>0</v>
      </c>
      <c r="H27" s="704">
        <f>IF(G27=0,0,G27/$G$27*100)</f>
        <v>0</v>
      </c>
      <c r="I27" s="650">
        <f>IF(J23=0,0,I10/$J$23)</f>
        <v>0</v>
      </c>
      <c r="J27" s="704">
        <f>IF(I27=0,0,I27/$I$27*100)</f>
        <v>0</v>
      </c>
      <c r="K27" s="650">
        <f>IF(L23=0,0,K10/$L$23)</f>
        <v>0</v>
      </c>
      <c r="L27" s="704">
        <f>IF(K27=0,0,K27/$K$27*100)</f>
        <v>0</v>
      </c>
      <c r="M27" s="650">
        <f>IF(N23=0,0,M10/$N$23)</f>
        <v>0</v>
      </c>
      <c r="N27" s="704">
        <f>IF(M27=0,0,M27/$M$27*100)</f>
        <v>0</v>
      </c>
      <c r="O27" s="650">
        <f>IF(P23=0,0,O10/$P$23)</f>
        <v>0</v>
      </c>
      <c r="P27" s="704">
        <f>IF(O27=0,0,O27/$O$27*100)</f>
        <v>0</v>
      </c>
    </row>
    <row r="28" spans="2:30" ht="13.5" thickBot="1" x14ac:dyDescent="0.25">
      <c r="B28" s="8" t="s">
        <v>222</v>
      </c>
      <c r="C28" s="650"/>
      <c r="D28" s="807"/>
      <c r="E28" s="650">
        <f>E29+E30+E32+E33</f>
        <v>0</v>
      </c>
      <c r="F28" s="704">
        <f>IF(E27=0,0,E28/$E$27*100)</f>
        <v>0</v>
      </c>
      <c r="G28" s="650">
        <f>G29+G30+G32+G33</f>
        <v>0</v>
      </c>
      <c r="H28" s="704">
        <f>IF(G27=0,0,G28/$G$27*100)</f>
        <v>0</v>
      </c>
      <c r="I28" s="650">
        <f>I29+I30+I32+I33</f>
        <v>0</v>
      </c>
      <c r="J28" s="704">
        <f>IF(I27=0,0,I28/$I$27*100)</f>
        <v>0</v>
      </c>
      <c r="K28" s="650">
        <f>K29+K30+K32+K33</f>
        <v>0</v>
      </c>
      <c r="L28" s="704">
        <f>IF(K27=0,0,K28/$K$27*100)</f>
        <v>0</v>
      </c>
      <c r="M28" s="650">
        <f>M29+M30+M32+M33</f>
        <v>0</v>
      </c>
      <c r="N28" s="704">
        <f>IF(M27=0,0,M28/$M$27*100)</f>
        <v>0</v>
      </c>
      <c r="O28" s="650">
        <f>O29+O30+O32+O33</f>
        <v>0</v>
      </c>
      <c r="P28" s="704">
        <f>IF(O27=0,0,O28/$O$27*100)</f>
        <v>0</v>
      </c>
    </row>
    <row r="29" spans="2:30" x14ac:dyDescent="0.2">
      <c r="B29" s="12" t="s">
        <v>223</v>
      </c>
      <c r="C29" s="649"/>
      <c r="D29" s="805"/>
      <c r="E29" s="649">
        <f>IF(F23=0,0,E12/$F$23)</f>
        <v>0</v>
      </c>
      <c r="F29" s="703">
        <f>IF(E27=0,0,E29/$E$27*100)</f>
        <v>0</v>
      </c>
      <c r="G29" s="649">
        <f>IF(H23=0,0,G12/$H$23)</f>
        <v>0</v>
      </c>
      <c r="H29" s="703">
        <f>IF(G27=0,0,G29/$G$27*100)</f>
        <v>0</v>
      </c>
      <c r="I29" s="649">
        <f>IF(J23=0,0,I12/$J$23)</f>
        <v>0</v>
      </c>
      <c r="J29" s="703">
        <f>IF(I27=0,0,I29/$I$27*100)</f>
        <v>0</v>
      </c>
      <c r="K29" s="649">
        <f>IF(L23=0,0,K12/$L$23)</f>
        <v>0</v>
      </c>
      <c r="L29" s="703">
        <f>IF(K27=0,0,K29/$K$27*100)</f>
        <v>0</v>
      </c>
      <c r="M29" s="649">
        <f>IF(N23=0,0,M12/$N$23)</f>
        <v>0</v>
      </c>
      <c r="N29" s="703">
        <f>IF(M27=0,0,M29/$M$27*100)</f>
        <v>0</v>
      </c>
      <c r="O29" s="649">
        <f>IF(P23=0,0,O12/$P$23)</f>
        <v>0</v>
      </c>
      <c r="P29" s="703">
        <f>IF(O27=0,0,O29/$O$27*100)</f>
        <v>0</v>
      </c>
    </row>
    <row r="30" spans="2:30" ht="13.5" thickBot="1" x14ac:dyDescent="0.25">
      <c r="B30" s="12" t="s">
        <v>225</v>
      </c>
      <c r="C30" s="651"/>
      <c r="D30" s="806"/>
      <c r="E30" s="651">
        <f>IF(F23=0,0,E13/$F$23)</f>
        <v>0</v>
      </c>
      <c r="F30" s="804">
        <f>IF(E27=0,0,E30/$E$27*100)</f>
        <v>0</v>
      </c>
      <c r="G30" s="651">
        <f>IF(H23=0,0,G13/$H$23)</f>
        <v>0</v>
      </c>
      <c r="H30" s="804">
        <f>IF(G27=0,0,G30/$G$27*100)</f>
        <v>0</v>
      </c>
      <c r="I30" s="651">
        <f>IF(J23=0,0,I13/$J$23)</f>
        <v>0</v>
      </c>
      <c r="J30" s="804">
        <f>IF(I27=0,0,I30/$I$27*100)</f>
        <v>0</v>
      </c>
      <c r="K30" s="651">
        <f>IF(L23=0,0,K13/$L$23)</f>
        <v>0</v>
      </c>
      <c r="L30" s="804">
        <f>IF(K27=0,0,K30/$K$27*100)</f>
        <v>0</v>
      </c>
      <c r="M30" s="651">
        <f>IF(N23=0,0,M13/$N$23)</f>
        <v>0</v>
      </c>
      <c r="N30" s="804">
        <f>IF(M27=0,0,M30/$M$27*100)</f>
        <v>0</v>
      </c>
      <c r="O30" s="651">
        <f>IF(P23=0,0,O13/$P$23)</f>
        <v>0</v>
      </c>
      <c r="P30" s="804">
        <f>IF(O27=0,0,O30/$O$27*100)</f>
        <v>0</v>
      </c>
    </row>
    <row r="31" spans="2:30" ht="13.5" thickBot="1" x14ac:dyDescent="0.25">
      <c r="B31" s="281" t="s">
        <v>226</v>
      </c>
      <c r="C31" s="655"/>
      <c r="D31" s="808"/>
      <c r="E31" s="652">
        <f>IF(F23=0,0,E14/$F$23)</f>
        <v>0</v>
      </c>
      <c r="F31" s="704">
        <f>IF(E27=0,0,E31/$E$27*100)</f>
        <v>0</v>
      </c>
      <c r="G31" s="652">
        <f>IF(H23=0,0,G14/$H$23)</f>
        <v>0</v>
      </c>
      <c r="H31" s="704">
        <f>IF(G27=0,0,G31/$G$27*100)</f>
        <v>0</v>
      </c>
      <c r="I31" s="652">
        <f>IF(J23=0,0,I14/$J$23)</f>
        <v>0</v>
      </c>
      <c r="J31" s="704">
        <f>IF(I27=0,0,I31/$I$27*100)</f>
        <v>0</v>
      </c>
      <c r="K31" s="652">
        <f>IF(L23=0,0,K14/$L$23)</f>
        <v>0</v>
      </c>
      <c r="L31" s="704">
        <f>IF(K27=0,0,K31/$K$27*100)</f>
        <v>0</v>
      </c>
      <c r="M31" s="652">
        <f>IF(N23=0,0,M14/$N$23)</f>
        <v>0</v>
      </c>
      <c r="N31" s="704">
        <f>IF(M27=0,0,M31/$M$27*100)</f>
        <v>0</v>
      </c>
      <c r="O31" s="652">
        <f>IF(P23=0,0,O14/$P$23)</f>
        <v>0</v>
      </c>
      <c r="P31" s="704">
        <f>IF(O27=0,0,O31/$O$27*100)</f>
        <v>0</v>
      </c>
    </row>
    <row r="32" spans="2:30" x14ac:dyDescent="0.2">
      <c r="B32" s="12" t="s">
        <v>227</v>
      </c>
      <c r="C32" s="649"/>
      <c r="D32" s="805"/>
      <c r="E32" s="649">
        <f>IF(F23=0,0,E15/$F$23)</f>
        <v>0</v>
      </c>
      <c r="F32" s="703">
        <f>IF(E27=0,0,E32/$E$27*100)</f>
        <v>0</v>
      </c>
      <c r="G32" s="649">
        <f>IF(H23=0,0,G15/$H$23)</f>
        <v>0</v>
      </c>
      <c r="H32" s="703">
        <f>IF(G27=0,0,G32/$G$27*100)</f>
        <v>0</v>
      </c>
      <c r="I32" s="649">
        <f>IF(J23=0,0,I15/$J$23)</f>
        <v>0</v>
      </c>
      <c r="J32" s="703">
        <f>IF(I27=0,0,I32/$I$27*100)</f>
        <v>0</v>
      </c>
      <c r="K32" s="649">
        <f>IF(L23=0,0,K15/$L$23)</f>
        <v>0</v>
      </c>
      <c r="L32" s="703">
        <f>IF(K27=0,0,K32/$K$27*100)</f>
        <v>0</v>
      </c>
      <c r="M32" s="649">
        <f>IF(N23=0,0,M15/$N$23)</f>
        <v>0</v>
      </c>
      <c r="N32" s="703">
        <f>IF(M27=0,0,M32/$M$27*100)</f>
        <v>0</v>
      </c>
      <c r="O32" s="649">
        <f>IF(P23=0,0,O15/$P$23)</f>
        <v>0</v>
      </c>
      <c r="P32" s="703">
        <f>IF(O27=0,0,O32/$O$27*100)</f>
        <v>0</v>
      </c>
    </row>
    <row r="33" spans="2:16" ht="13.5" thickBot="1" x14ac:dyDescent="0.25">
      <c r="B33" s="12" t="s">
        <v>228</v>
      </c>
      <c r="C33" s="651"/>
      <c r="D33" s="806"/>
      <c r="E33" s="651">
        <f>IF(F23=0,0,E16/$F$23)</f>
        <v>0</v>
      </c>
      <c r="F33" s="804">
        <f>IF(E27=0,0,E33/$E$27*100)</f>
        <v>0</v>
      </c>
      <c r="G33" s="651">
        <f>IF(H23=0,0,G16/$H$23)</f>
        <v>0</v>
      </c>
      <c r="H33" s="804">
        <f>IF(G27=0,0,G33/$G$27*100)</f>
        <v>0</v>
      </c>
      <c r="I33" s="651">
        <f>IF(J23=0,0,I16/$J$23)</f>
        <v>0</v>
      </c>
      <c r="J33" s="804">
        <f>IF(I27=0,0,I33/$I$27*100)</f>
        <v>0</v>
      </c>
      <c r="K33" s="651">
        <f>IF(L23=0,0,K16/$L$23)</f>
        <v>0</v>
      </c>
      <c r="L33" s="804">
        <f>IF(K27=0,0,K33/$K$27*100)</f>
        <v>0</v>
      </c>
      <c r="M33" s="651">
        <f>IF(N23=0,0,M16/$N$23)</f>
        <v>0</v>
      </c>
      <c r="N33" s="804">
        <f>IF(M27=0,0,M33/$M$27*100)</f>
        <v>0</v>
      </c>
      <c r="O33" s="651">
        <f>IF(P23=0,0,O16/$P$23)</f>
        <v>0</v>
      </c>
      <c r="P33" s="804">
        <f>IF(O27=0,0,O33/$O$27*100)</f>
        <v>0</v>
      </c>
    </row>
    <row r="34" spans="2:16" ht="13.5" thickBot="1" x14ac:dyDescent="0.25">
      <c r="B34" s="281" t="s">
        <v>562</v>
      </c>
      <c r="C34" s="655"/>
      <c r="D34" s="808"/>
      <c r="E34" s="652">
        <f>IF(F23=0,0,E17/$F$23)</f>
        <v>0</v>
      </c>
      <c r="F34" s="704">
        <f>IF(E27=0,0,E34/$E$27*100)</f>
        <v>0</v>
      </c>
      <c r="G34" s="652">
        <f>IF(H23=0,0,G17/$H$23)</f>
        <v>0</v>
      </c>
      <c r="H34" s="704">
        <f>IF(G27=0,0,G34/$G$27*100)</f>
        <v>0</v>
      </c>
      <c r="I34" s="652">
        <f>IF(J23=0,0,I17/$J$23)</f>
        <v>0</v>
      </c>
      <c r="J34" s="704">
        <f>IF(I27=0,0,I34/$I$27*100)</f>
        <v>0</v>
      </c>
      <c r="K34" s="652">
        <f>IF(L23=0,0,K17/$L$23)</f>
        <v>0</v>
      </c>
      <c r="L34" s="704">
        <f>IF(K27=0,0,K34/$K$27*100)</f>
        <v>0</v>
      </c>
      <c r="M34" s="652">
        <f>IF(N23=0,0,M17/$N$23)</f>
        <v>0</v>
      </c>
      <c r="N34" s="704">
        <f>IF(M27=0,0,M34/$M$27*100)</f>
        <v>0</v>
      </c>
      <c r="O34" s="652">
        <f>IF(P23=0,0,O17/$P$23)</f>
        <v>0</v>
      </c>
      <c r="P34" s="704">
        <f>IF(O27=0,0,O34/$O$27*100)</f>
        <v>0</v>
      </c>
    </row>
    <row r="35" spans="2:16" x14ac:dyDescent="0.2">
      <c r="D35"/>
      <c r="E35"/>
      <c r="F35"/>
      <c r="G35"/>
      <c r="H35"/>
      <c r="I35"/>
      <c r="J35"/>
      <c r="L35"/>
      <c r="N35"/>
      <c r="O35"/>
      <c r="P35"/>
    </row>
    <row r="36" spans="2:16" x14ac:dyDescent="0.2">
      <c r="D36"/>
      <c r="E36"/>
      <c r="F36"/>
      <c r="G36"/>
      <c r="H36"/>
      <c r="I36"/>
      <c r="J36"/>
      <c r="L36"/>
      <c r="N36"/>
      <c r="O36"/>
      <c r="P36"/>
    </row>
    <row r="37" spans="2:16" ht="13.5" thickBot="1" x14ac:dyDescent="0.25"/>
    <row r="38" spans="2:16" ht="13.5" thickBot="1" x14ac:dyDescent="0.25">
      <c r="B38" s="94" t="s">
        <v>221</v>
      </c>
      <c r="C38" s="181"/>
      <c r="D38" s="178"/>
      <c r="E38" s="1654" t="s">
        <v>230</v>
      </c>
      <c r="F38" s="1655"/>
      <c r="G38" s="1655"/>
      <c r="H38" s="1655"/>
      <c r="I38" s="1655"/>
      <c r="J38" s="1655"/>
      <c r="K38" s="1655"/>
      <c r="L38" s="1655"/>
      <c r="M38" s="1655"/>
      <c r="N38" s="1655"/>
      <c r="O38" s="1655"/>
      <c r="P38" s="1656"/>
    </row>
    <row r="39" spans="2:16" ht="13.5" thickBot="1" x14ac:dyDescent="0.25">
      <c r="B39" s="1657" t="s">
        <v>445</v>
      </c>
      <c r="C39" s="182"/>
      <c r="D39" s="184"/>
      <c r="E39" s="797" t="str">
        <f>E22</f>
        <v>Verkko1</v>
      </c>
      <c r="F39" s="798"/>
      <c r="G39" s="797" t="str">
        <f>G22</f>
        <v>Verkko2</v>
      </c>
      <c r="H39" s="798"/>
      <c r="I39" s="797" t="str">
        <f>I22</f>
        <v>Isorysä1</v>
      </c>
      <c r="J39" s="798"/>
      <c r="K39" s="797" t="str">
        <f>K22</f>
        <v>Isorysä2</v>
      </c>
      <c r="L39" s="798"/>
      <c r="M39" s="797" t="str">
        <f>M22</f>
        <v>PU-rysä1</v>
      </c>
      <c r="N39" s="347"/>
      <c r="O39" s="797" t="str">
        <f>O22</f>
        <v>PU-rysä2</v>
      </c>
      <c r="P39" s="347"/>
    </row>
    <row r="40" spans="2:16" ht="13.5" thickBot="1" x14ac:dyDescent="0.25">
      <c r="B40" s="1658"/>
      <c r="C40" s="182"/>
      <c r="D40" s="184"/>
      <c r="E40" s="291" t="s">
        <v>273</v>
      </c>
      <c r="F40" s="654">
        <f>'3 Saalis'!AD71</f>
        <v>0</v>
      </c>
      <c r="G40" s="291" t="s">
        <v>273</v>
      </c>
      <c r="H40" s="654">
        <f>'3 Saalis'!AD93</f>
        <v>0</v>
      </c>
      <c r="I40" s="291" t="s">
        <v>273</v>
      </c>
      <c r="J40" s="654">
        <f>'3 Saalis'!AD115</f>
        <v>0</v>
      </c>
      <c r="K40" s="291" t="s">
        <v>273</v>
      </c>
      <c r="L40" s="654">
        <f>'3 Saalis'!AD137</f>
        <v>0</v>
      </c>
      <c r="M40" s="291" t="s">
        <v>273</v>
      </c>
      <c r="N40" s="654">
        <f>'3 Saalis'!AD159</f>
        <v>0</v>
      </c>
      <c r="O40" s="291" t="s">
        <v>273</v>
      </c>
      <c r="P40" s="654">
        <f>'3 Saalis'!AD181</f>
        <v>0</v>
      </c>
    </row>
    <row r="41" spans="2:16" ht="13.5" thickBot="1" x14ac:dyDescent="0.25">
      <c r="B41" s="185" t="s">
        <v>444</v>
      </c>
      <c r="C41" s="177"/>
      <c r="D41" s="183"/>
      <c r="E41" s="177" t="s">
        <v>145</v>
      </c>
      <c r="F41" s="183" t="s">
        <v>215</v>
      </c>
      <c r="G41" s="177" t="s">
        <v>145</v>
      </c>
      <c r="H41" s="183" t="s">
        <v>215</v>
      </c>
      <c r="I41" s="177" t="s">
        <v>145</v>
      </c>
      <c r="J41" s="183" t="s">
        <v>215</v>
      </c>
      <c r="K41" s="177" t="s">
        <v>145</v>
      </c>
      <c r="L41" s="183" t="s">
        <v>215</v>
      </c>
      <c r="M41" s="361" t="s">
        <v>145</v>
      </c>
      <c r="N41" s="362" t="s">
        <v>215</v>
      </c>
      <c r="O41" s="361" t="s">
        <v>145</v>
      </c>
      <c r="P41" s="362" t="s">
        <v>215</v>
      </c>
    </row>
    <row r="42" spans="2:16" x14ac:dyDescent="0.2">
      <c r="B42" s="3" t="s">
        <v>224</v>
      </c>
      <c r="C42" s="651"/>
      <c r="D42" s="656"/>
      <c r="E42" s="802">
        <f>IF(F40=0,0,E8/F$40)</f>
        <v>0</v>
      </c>
      <c r="F42" s="803">
        <f>IF(E44=0,0,E42/$E$44*100)</f>
        <v>0</v>
      </c>
      <c r="G42" s="802">
        <f>IF(H40=0,0,G8/H$40)</f>
        <v>0</v>
      </c>
      <c r="H42" s="803">
        <f>IF(G44=0,0,G42/$G$44*100)</f>
        <v>0</v>
      </c>
      <c r="I42" s="802">
        <f>IF(J40=0,0,I8/J$40)</f>
        <v>0</v>
      </c>
      <c r="J42" s="803">
        <f>IF(I44=0,0,I42/$I$44*100)</f>
        <v>0</v>
      </c>
      <c r="K42" s="802">
        <f>IF(L40=0,0,K8/L$40)</f>
        <v>0</v>
      </c>
      <c r="L42" s="803">
        <f>IF(K44=0,0,K42/$K$44*100)</f>
        <v>0</v>
      </c>
      <c r="M42" s="802">
        <f>IF(N40=0,0,M8/N$40)</f>
        <v>0</v>
      </c>
      <c r="N42" s="803">
        <f>IF(M44=0,0,M42/$M$44*100)</f>
        <v>0</v>
      </c>
      <c r="O42" s="802">
        <f>IF(P40=0,0,O8/P$40)</f>
        <v>0</v>
      </c>
      <c r="P42" s="803">
        <f>IF(O44=0,0,O42/$O$44*100)</f>
        <v>0</v>
      </c>
    </row>
    <row r="43" spans="2:16" ht="13.5" thickBot="1" x14ac:dyDescent="0.25">
      <c r="B43" s="3" t="s">
        <v>220</v>
      </c>
      <c r="C43" s="651"/>
      <c r="D43" s="658"/>
      <c r="E43" s="651">
        <f>IF(F40=0,0,E9/F$40)</f>
        <v>0</v>
      </c>
      <c r="F43" s="804">
        <f>IF(E44=0,0,E43/$E$44*100)</f>
        <v>0</v>
      </c>
      <c r="G43" s="651">
        <f>IF(H40=0,0,G9/H$40)</f>
        <v>0</v>
      </c>
      <c r="H43" s="804">
        <f>IF(G44=0,0,G43/$G$44*100)</f>
        <v>0</v>
      </c>
      <c r="I43" s="651">
        <f>IF(J40=0,0,I9/J$40)</f>
        <v>0</v>
      </c>
      <c r="J43" s="804">
        <f>IF(I44=0,0,I43/$I$44*100)</f>
        <v>0</v>
      </c>
      <c r="K43" s="651">
        <f>IF(L40=0,0,K9/L$40)</f>
        <v>0</v>
      </c>
      <c r="L43" s="804">
        <f>IF(K44=0,0,K43/$K$44*100)</f>
        <v>0</v>
      </c>
      <c r="M43" s="651">
        <f>IF(N40=0,0,M9/N$40)</f>
        <v>0</v>
      </c>
      <c r="N43" s="804">
        <f>IF(M44=0,0,M43/$M$44*100)</f>
        <v>0</v>
      </c>
      <c r="O43" s="651">
        <f>IF(P40=0,0,O9/P$40)</f>
        <v>0</v>
      </c>
      <c r="P43" s="804">
        <f>IF(O44=0,0,O43/$O$44*100)</f>
        <v>0</v>
      </c>
    </row>
    <row r="44" spans="2:16" ht="13.5" thickBot="1" x14ac:dyDescent="0.25">
      <c r="B44" s="8" t="s">
        <v>219</v>
      </c>
      <c r="C44" s="650"/>
      <c r="D44" s="657"/>
      <c r="E44" s="650">
        <f>IF(F40=0,0,E10/F$40)</f>
        <v>0</v>
      </c>
      <c r="F44" s="704">
        <f>IF(E44=0,0,E44/$E$44*100)</f>
        <v>0</v>
      </c>
      <c r="G44" s="650">
        <f>IF(H40=0,0,G10/H$40)</f>
        <v>0</v>
      </c>
      <c r="H44" s="704">
        <f>IF(G44=0,0,G44/$G$44*100)</f>
        <v>0</v>
      </c>
      <c r="I44" s="650">
        <f>IF(J40=0,0,I10/J$40)</f>
        <v>0</v>
      </c>
      <c r="J44" s="704">
        <f>IF(I44=0,0,I44/$I$44*100)</f>
        <v>0</v>
      </c>
      <c r="K44" s="650">
        <f>IF(L40=0,0,K10/L$40)</f>
        <v>0</v>
      </c>
      <c r="L44" s="704">
        <f>IF(K44=0,0,K44/$K$44*100)</f>
        <v>0</v>
      </c>
      <c r="M44" s="650">
        <f>IF(N40=0,0,M10/N$40)</f>
        <v>0</v>
      </c>
      <c r="N44" s="704">
        <f>IF(M44=0,0,M44/$M$44*100)</f>
        <v>0</v>
      </c>
      <c r="O44" s="650">
        <f>IF(P40=0,0,O10/P$40)</f>
        <v>0</v>
      </c>
      <c r="P44" s="704">
        <f>IF(O44=0,0,O44/$O$44*100)</f>
        <v>0</v>
      </c>
    </row>
    <row r="45" spans="2:16" ht="13.5" thickBot="1" x14ac:dyDescent="0.25">
      <c r="B45" s="40" t="s">
        <v>222</v>
      </c>
      <c r="C45" s="650"/>
      <c r="D45" s="657"/>
      <c r="E45" s="650">
        <f>E46+E47+E49+E50</f>
        <v>0</v>
      </c>
      <c r="F45" s="704">
        <f>IF(E44=0,0,E45/$E$44*100)</f>
        <v>0</v>
      </c>
      <c r="G45" s="650">
        <f>G46+G47+G49+G50</f>
        <v>0</v>
      </c>
      <c r="H45" s="704">
        <f>IF(G44=0,0,G45/$G$44*100)</f>
        <v>0</v>
      </c>
      <c r="I45" s="650">
        <f>I46+I47+I49+I50</f>
        <v>0</v>
      </c>
      <c r="J45" s="704">
        <f>IF(I44=0,0,I45/$I$44*100)</f>
        <v>0</v>
      </c>
      <c r="K45" s="650">
        <f>K46+K47+K49+K50</f>
        <v>0</v>
      </c>
      <c r="L45" s="704">
        <f>IF(K44=0,0,K45/$K$44*100)</f>
        <v>0</v>
      </c>
      <c r="M45" s="650">
        <f>M46+M47+M49+M50</f>
        <v>0</v>
      </c>
      <c r="N45" s="704">
        <f>IF(M44=0,0,M45/$M$44*100)</f>
        <v>0</v>
      </c>
      <c r="O45" s="650">
        <f>O46+O47+O49+O50</f>
        <v>0</v>
      </c>
      <c r="P45" s="704">
        <f>IF(O44=0,0,O45/$O$44*100)</f>
        <v>0</v>
      </c>
    </row>
    <row r="46" spans="2:16" x14ac:dyDescent="0.2">
      <c r="B46" s="12" t="s">
        <v>223</v>
      </c>
      <c r="C46" s="649"/>
      <c r="D46" s="656"/>
      <c r="E46" s="649">
        <f>IF(F40=0,0,E12/F$40)</f>
        <v>0</v>
      </c>
      <c r="F46" s="703">
        <f>IF(E44=0,0,E46/$E$44*100)</f>
        <v>0</v>
      </c>
      <c r="G46" s="649">
        <f>IF(H40=0,0,G12/H$40)</f>
        <v>0</v>
      </c>
      <c r="H46" s="703">
        <f>IF(G44=0,0,G46/$G$44*100)</f>
        <v>0</v>
      </c>
      <c r="I46" s="649">
        <f>IF(J40=0,0,I12/J$40)</f>
        <v>0</v>
      </c>
      <c r="J46" s="703">
        <f>IF(I44=0,0,I46/$I$44*100)</f>
        <v>0</v>
      </c>
      <c r="K46" s="649">
        <f>IF(L40=0,0,K12/L$40)</f>
        <v>0</v>
      </c>
      <c r="L46" s="703">
        <f>IF(K44=0,0,K46/$K$44*100)</f>
        <v>0</v>
      </c>
      <c r="M46" s="649">
        <f>IF(N40=0,0,M12/N$40)</f>
        <v>0</v>
      </c>
      <c r="N46" s="703">
        <f>IF(M44=0,0,M46/$M$44*100)</f>
        <v>0</v>
      </c>
      <c r="O46" s="649">
        <f>IF(P40=0,0,O12/P$40)</f>
        <v>0</v>
      </c>
      <c r="P46" s="703">
        <f>IF(O44=0,0,O46/$O$44*100)</f>
        <v>0</v>
      </c>
    </row>
    <row r="47" spans="2:16" ht="13.5" thickBot="1" x14ac:dyDescent="0.25">
      <c r="B47" s="12" t="s">
        <v>225</v>
      </c>
      <c r="C47" s="651"/>
      <c r="D47" s="658"/>
      <c r="E47" s="651">
        <f>IF(F40=0,0,E13/F$40)</f>
        <v>0</v>
      </c>
      <c r="F47" s="804">
        <f>IF(E44=0,0,E47/$E$44*100)</f>
        <v>0</v>
      </c>
      <c r="G47" s="651">
        <f>IF(H40=0,0,G13/H$40)</f>
        <v>0</v>
      </c>
      <c r="H47" s="804">
        <f>IF(G44=0,0,G47/$G$44*100)</f>
        <v>0</v>
      </c>
      <c r="I47" s="651">
        <f>IF(J40=0,0,I13/J$40)</f>
        <v>0</v>
      </c>
      <c r="J47" s="804">
        <f>IF(I44=0,0,I47/$I$44*100)</f>
        <v>0</v>
      </c>
      <c r="K47" s="651">
        <f>IF(L40=0,0,K13/L$40)</f>
        <v>0</v>
      </c>
      <c r="L47" s="804">
        <f>IF(K44=0,0,K47/$K$44*100)</f>
        <v>0</v>
      </c>
      <c r="M47" s="651">
        <f>IF(N40=0,0,M13/N$40)</f>
        <v>0</v>
      </c>
      <c r="N47" s="804">
        <f>IF(M44=0,0,M47/$M$44*100)</f>
        <v>0</v>
      </c>
      <c r="O47" s="651">
        <f>IF(P40=0,0,O13/P$40)</f>
        <v>0</v>
      </c>
      <c r="P47" s="804">
        <f>IF(O44=0,0,O47/$O$44*100)</f>
        <v>0</v>
      </c>
    </row>
    <row r="48" spans="2:16" ht="13.5" thickBot="1" x14ac:dyDescent="0.25">
      <c r="B48" s="282" t="s">
        <v>226</v>
      </c>
      <c r="C48" s="652"/>
      <c r="D48" s="657"/>
      <c r="E48" s="652">
        <f>IF(F40=0,0,E14/F$40)</f>
        <v>0</v>
      </c>
      <c r="F48" s="704">
        <f>IF(E44=0,0,E48/$E$44*100)</f>
        <v>0</v>
      </c>
      <c r="G48" s="652">
        <f>IF(H40=0,0,G14/H$40)</f>
        <v>0</v>
      </c>
      <c r="H48" s="704">
        <f>IF(G44=0,0,G48/$G$44*100)</f>
        <v>0</v>
      </c>
      <c r="I48" s="652">
        <f>IF(J40=0,0,I14/J$40)</f>
        <v>0</v>
      </c>
      <c r="J48" s="704">
        <f>IF(I44=0,0,I48/$I$44*100)</f>
        <v>0</v>
      </c>
      <c r="K48" s="652">
        <f>IF(L40=0,0,K14/L$40)</f>
        <v>0</v>
      </c>
      <c r="L48" s="704">
        <f>IF(K44=0,0,K48/$K$44*100)</f>
        <v>0</v>
      </c>
      <c r="M48" s="652">
        <f>IF(N40=0,0,M14/N$40)</f>
        <v>0</v>
      </c>
      <c r="N48" s="704">
        <f>IF(M44=0,0,M48/$M$44*100)</f>
        <v>0</v>
      </c>
      <c r="O48" s="652">
        <f>IF(P40=0,0,O14/P$40)</f>
        <v>0</v>
      </c>
      <c r="P48" s="704">
        <f>IF(O44=0,0,O48/$O$44*100)</f>
        <v>0</v>
      </c>
    </row>
    <row r="49" spans="2:16" x14ac:dyDescent="0.2">
      <c r="B49" s="12" t="s">
        <v>227</v>
      </c>
      <c r="C49" s="649"/>
      <c r="D49" s="656"/>
      <c r="E49" s="649">
        <f>IF(F40=0,0,E15/F$40)</f>
        <v>0</v>
      </c>
      <c r="F49" s="703">
        <f>IF(E44=0,0,E49/$E$44*100)</f>
        <v>0</v>
      </c>
      <c r="G49" s="649">
        <f>IF(H40=0,0,G15/H$40)</f>
        <v>0</v>
      </c>
      <c r="H49" s="703">
        <f>IF(G44=0,0,G49/$G$44*100)</f>
        <v>0</v>
      </c>
      <c r="I49" s="649">
        <f>IF(J40=0,0,I15/J$40)</f>
        <v>0</v>
      </c>
      <c r="J49" s="703">
        <f>IF(I44=0,0,I49/$I$44*100)</f>
        <v>0</v>
      </c>
      <c r="K49" s="649">
        <f>IF(L40=0,0,K15/L$40)</f>
        <v>0</v>
      </c>
      <c r="L49" s="703">
        <f>IF(K44=0,0,K49/$K$44*100)</f>
        <v>0</v>
      </c>
      <c r="M49" s="649">
        <f>IF(N40=0,0,M15/N$40)</f>
        <v>0</v>
      </c>
      <c r="N49" s="703">
        <f>IF(M44=0,0,M49/$M$44*100)</f>
        <v>0</v>
      </c>
      <c r="O49" s="649">
        <f>IF(P40=0,0,O15/P$40)</f>
        <v>0</v>
      </c>
      <c r="P49" s="703">
        <f>IF(O44=0,0,O49/$O$44*100)</f>
        <v>0</v>
      </c>
    </row>
    <row r="50" spans="2:16" ht="13.5" thickBot="1" x14ac:dyDescent="0.25">
      <c r="B50" s="12" t="s">
        <v>228</v>
      </c>
      <c r="C50" s="651"/>
      <c r="D50" s="658"/>
      <c r="E50" s="651">
        <f>IF(F40=0,0,E16/F$40)</f>
        <v>0</v>
      </c>
      <c r="F50" s="804">
        <f>IF(E44=0,0,E50/$E$44*100)</f>
        <v>0</v>
      </c>
      <c r="G50" s="651">
        <f>IF(H40=0,0,G16/H$40)</f>
        <v>0</v>
      </c>
      <c r="H50" s="804">
        <f>IF(G44=0,0,G50/$G$44*100)</f>
        <v>0</v>
      </c>
      <c r="I50" s="651">
        <f>IF(J40=0,0,I16/J$40)</f>
        <v>0</v>
      </c>
      <c r="J50" s="804">
        <f>IF(I44=0,0,I50/$I$44*100)</f>
        <v>0</v>
      </c>
      <c r="K50" s="651">
        <f>IF(L40=0,0,K16/L$40)</f>
        <v>0</v>
      </c>
      <c r="L50" s="804">
        <f>IF(K44=0,0,K50/$K$44*100)</f>
        <v>0</v>
      </c>
      <c r="M50" s="651">
        <f>IF(N40=0,0,M16/N$40)</f>
        <v>0</v>
      </c>
      <c r="N50" s="804">
        <f>IF(M44=0,0,M50/$M$44*100)</f>
        <v>0</v>
      </c>
      <c r="O50" s="651">
        <f>IF(P40=0,0,O16/P$40)</f>
        <v>0</v>
      </c>
      <c r="P50" s="804">
        <f>IF(O44=0,0,O50/$O$44*100)</f>
        <v>0</v>
      </c>
    </row>
    <row r="51" spans="2:16" ht="13.5" thickBot="1" x14ac:dyDescent="0.25">
      <c r="B51" s="282" t="s">
        <v>562</v>
      </c>
      <c r="C51" s="652"/>
      <c r="D51" s="657"/>
      <c r="E51" s="652">
        <f>IF(F40=0,0,E17/F$40)</f>
        <v>0</v>
      </c>
      <c r="F51" s="704">
        <f>IF(E44=0,0,E51/$E$44*100)</f>
        <v>0</v>
      </c>
      <c r="G51" s="652">
        <f>IF(H40=0,0,G17/H$40)</f>
        <v>0</v>
      </c>
      <c r="H51" s="704">
        <f>IF(G44=0,0,G51/$G$44*100)</f>
        <v>0</v>
      </c>
      <c r="I51" s="652">
        <f>IF(J40=0,0,I17/J$40)</f>
        <v>0</v>
      </c>
      <c r="J51" s="704">
        <f>IF(I44=0,0,I51/$I$44*100)</f>
        <v>0</v>
      </c>
      <c r="K51" s="652">
        <f>IF(L40=0,0,K17/L$40)</f>
        <v>0</v>
      </c>
      <c r="L51" s="704">
        <f>IF(K44=0,0,K51/$K$44*100)</f>
        <v>0</v>
      </c>
      <c r="M51" s="652">
        <f>IF(N40=0,0,M17/N$40)</f>
        <v>0</v>
      </c>
      <c r="N51" s="704">
        <f>IF(M44=0,0,M51/$M$44*100)</f>
        <v>0</v>
      </c>
      <c r="O51" s="652">
        <f>IF(P40=0,0,O17/P$40)</f>
        <v>0</v>
      </c>
      <c r="P51" s="704">
        <f>IF(O44=0,0,O51/$O$44*100)</f>
        <v>0</v>
      </c>
    </row>
    <row r="52" spans="2:16" x14ac:dyDescent="0.2">
      <c r="B52" s="179"/>
      <c r="C52" s="179"/>
      <c r="L52"/>
      <c r="N52"/>
      <c r="O52"/>
      <c r="P52"/>
    </row>
    <row r="53" spans="2:16" x14ac:dyDescent="0.2">
      <c r="B53" s="179"/>
      <c r="C53" s="179"/>
      <c r="L53"/>
      <c r="N53"/>
      <c r="O53"/>
      <c r="P53"/>
    </row>
    <row r="63" spans="2:16" x14ac:dyDescent="0.2">
      <c r="K63" s="346"/>
    </row>
  </sheetData>
  <sheetProtection password="C576" sheet="1" objects="1" scenarios="1"/>
  <mergeCells count="4">
    <mergeCell ref="E21:O21"/>
    <mergeCell ref="E38:P38"/>
    <mergeCell ref="B39:B40"/>
    <mergeCell ref="E5:P5"/>
  </mergeCells>
  <phoneticPr fontId="16" type="noConversion"/>
  <pageMargins left="0.74803149606299213" right="0.74803149606299213" top="0.98425196850393704" bottom="0.98425196850393704" header="0.51181102362204722" footer="0.51181102362204722"/>
  <pageSetup paperSize="9" scale="53" orientation="landscape" r:id="rId1"/>
  <headerFooter alignWithMargins="0"/>
  <ignoredErrors>
    <ignoredError sqref="D10:D11 D14 N28 N50:N51 F10:F17 N14 N10 H11:O13 H10 O10 H17:L17 N17:O17 H15:O16 H14:M14 O14 F28:M29 N45:N48 N49 N42:N44 F46:M48 F42:M44 F49:M49 F50:L50 J10 L10 F45 H45:M45 H51 J51 L51 F51 D17" formula="1"/>
  </ignoredErrors>
  <drawing r:id="rId2"/>
  <legacyDrawing r:id="rId3"/>
  <picture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EW98"/>
  <sheetViews>
    <sheetView showGridLines="0" zoomScaleNormal="100" zoomScaleSheetLayoutView="51" workbookViewId="0">
      <selection activeCell="O37" sqref="O37"/>
    </sheetView>
  </sheetViews>
  <sheetFormatPr defaultRowHeight="12.75" x14ac:dyDescent="0.2"/>
  <cols>
    <col min="1" max="1" width="7" customWidth="1"/>
    <col min="2" max="2" width="47.140625" bestFit="1" customWidth="1"/>
    <col min="3" max="4" width="9.28515625" customWidth="1"/>
    <col min="5" max="5" width="10.140625" customWidth="1"/>
    <col min="6" max="6" width="7.7109375" customWidth="1"/>
    <col min="7" max="8" width="9.28515625" customWidth="1"/>
    <col min="9" max="9" width="10.140625" customWidth="1"/>
    <col min="10" max="10" width="7.7109375" customWidth="1"/>
    <col min="11" max="12" width="9.28515625" customWidth="1"/>
    <col min="13" max="13" width="10.140625" customWidth="1"/>
    <col min="14" max="14" width="7.7109375" customWidth="1"/>
    <col min="15" max="15" width="4.85546875" customWidth="1"/>
    <col min="16" max="16" width="47.140625" bestFit="1" customWidth="1"/>
    <col min="17" max="18" width="9.42578125" customWidth="1"/>
    <col min="19" max="19" width="10" customWidth="1"/>
    <col min="20" max="20" width="7.7109375" customWidth="1"/>
    <col min="21" max="22" width="9.42578125" customWidth="1"/>
    <col min="23" max="23" width="10" customWidth="1"/>
    <col min="24" max="24" width="7.7109375" customWidth="1"/>
    <col min="25" max="26" width="9.42578125" customWidth="1"/>
    <col min="27" max="27" width="10" customWidth="1"/>
    <col min="28" max="28" width="7.7109375" customWidth="1"/>
    <col min="29" max="29" width="4.85546875" customWidth="1"/>
    <col min="30" max="30" width="47.140625" bestFit="1" customWidth="1"/>
    <col min="31" max="32" width="9.28515625" customWidth="1"/>
    <col min="33" max="33" width="10" customWidth="1"/>
    <col min="34" max="34" width="7.7109375" customWidth="1"/>
    <col min="35" max="36" width="9.28515625" customWidth="1"/>
    <col min="37" max="37" width="10" customWidth="1"/>
    <col min="38" max="38" width="7.7109375" customWidth="1"/>
    <col min="39" max="40" width="9.28515625" customWidth="1"/>
    <col min="41" max="41" width="10" customWidth="1"/>
    <col min="42" max="42" width="7.7109375" customWidth="1"/>
    <col min="43" max="43" width="4.85546875" customWidth="1"/>
    <col min="44" max="44" width="47.140625" bestFit="1" customWidth="1"/>
    <col min="45" max="46" width="9.42578125" customWidth="1"/>
    <col min="47" max="47" width="10" customWidth="1"/>
    <col min="48" max="48" width="7.7109375" customWidth="1"/>
    <col min="49" max="50" width="9.42578125" customWidth="1"/>
    <col min="51" max="51" width="10" customWidth="1"/>
    <col min="52" max="52" width="7.7109375" customWidth="1"/>
    <col min="53" max="54" width="9.42578125" customWidth="1"/>
    <col min="55" max="55" width="10" customWidth="1"/>
    <col min="56" max="56" width="7.7109375" customWidth="1"/>
    <col min="57" max="57" width="4.85546875" customWidth="1"/>
    <col min="58" max="58" width="47.140625" bestFit="1" customWidth="1"/>
    <col min="59" max="60" width="9.42578125" customWidth="1"/>
    <col min="61" max="61" width="10" customWidth="1"/>
    <col min="62" max="62" width="7.7109375" customWidth="1"/>
    <col min="63" max="64" width="9.42578125" customWidth="1"/>
    <col min="65" max="65" width="10" customWidth="1"/>
    <col min="66" max="66" width="7.7109375" customWidth="1"/>
    <col min="67" max="68" width="9.42578125" customWidth="1"/>
    <col min="69" max="69" width="10" customWidth="1"/>
    <col min="70" max="70" width="7.7109375" customWidth="1"/>
    <col min="71" max="71" width="4.85546875" customWidth="1"/>
    <col min="72" max="72" width="47.140625" bestFit="1" customWidth="1"/>
    <col min="73" max="74" width="9.28515625" customWidth="1"/>
    <col min="75" max="75" width="10" customWidth="1"/>
    <col min="76" max="76" width="7.7109375" customWidth="1"/>
    <col min="77" max="78" width="9.28515625" customWidth="1"/>
    <col min="79" max="79" width="10" customWidth="1"/>
    <col min="80" max="80" width="7.7109375" customWidth="1"/>
    <col min="81" max="82" width="9.28515625" customWidth="1"/>
    <col min="83" max="83" width="10" customWidth="1"/>
    <col min="84" max="84" width="7.7109375" customWidth="1"/>
    <col min="85" max="85" width="5.42578125" customWidth="1"/>
    <col min="86" max="86" width="47.140625" bestFit="1" customWidth="1"/>
    <col min="87" max="88" width="9.28515625" customWidth="1"/>
    <col min="89" max="89" width="10" customWidth="1"/>
    <col min="90" max="90" width="7.7109375" customWidth="1"/>
    <col min="91" max="92" width="9.28515625" customWidth="1"/>
    <col min="93" max="93" width="10" customWidth="1"/>
    <col min="94" max="94" width="7.7109375" customWidth="1"/>
    <col min="95" max="96" width="9.28515625" customWidth="1"/>
    <col min="97" max="97" width="10" customWidth="1"/>
    <col min="98" max="98" width="7.7109375" customWidth="1"/>
    <col min="99" max="99" width="6.140625" customWidth="1"/>
    <col min="100" max="100" width="8.5703125" customWidth="1"/>
    <col min="101" max="101" width="21.7109375" customWidth="1"/>
    <col min="102" max="104" width="9.28515625" style="88" customWidth="1"/>
    <col min="105" max="105" width="7.7109375" customWidth="1"/>
    <col min="106" max="108" width="9.28515625" customWidth="1"/>
    <col min="109" max="109" width="7.7109375" customWidth="1"/>
    <col min="110" max="112" width="9.28515625" customWidth="1"/>
    <col min="113" max="113" width="7.7109375" customWidth="1"/>
    <col min="114" max="116" width="9.28515625" style="88" customWidth="1"/>
    <col min="117" max="117" width="7.7109375" customWidth="1"/>
    <col min="118" max="120" width="9.28515625" customWidth="1"/>
    <col min="121" max="121" width="7.7109375" customWidth="1"/>
    <col min="122" max="124" width="9.28515625" style="88" customWidth="1"/>
    <col min="125" max="125" width="7.7109375" customWidth="1"/>
    <col min="126" max="128" width="9.28515625" style="88" customWidth="1"/>
    <col min="129" max="129" width="7.7109375" customWidth="1"/>
    <col min="130" max="130" width="3.42578125" customWidth="1"/>
    <col min="131" max="131" width="3.140625" customWidth="1"/>
    <col min="132" max="132" width="9.140625" customWidth="1"/>
    <col min="143" max="143" width="6.140625" customWidth="1"/>
    <col min="144" max="144" width="11.28515625" customWidth="1"/>
    <col min="145" max="146" width="9.28515625" bestFit="1" customWidth="1"/>
    <col min="147" max="147" width="11.28515625" bestFit="1" customWidth="1"/>
    <col min="148" max="148" width="5.7109375" customWidth="1"/>
    <col min="150" max="150" width="9.140625" customWidth="1"/>
    <col min="151" max="151" width="5.28515625" customWidth="1"/>
    <col min="152" max="152" width="0.28515625" customWidth="1"/>
  </cols>
  <sheetData>
    <row r="1" spans="2:148" ht="18" customHeight="1" thickBot="1" x14ac:dyDescent="0.25">
      <c r="CL1" s="220"/>
    </row>
    <row r="2" spans="2:148" ht="24" customHeight="1" thickBot="1" x14ac:dyDescent="0.35">
      <c r="B2" s="1" t="s">
        <v>237</v>
      </c>
      <c r="C2" s="203"/>
      <c r="CJ2" s="121"/>
      <c r="CK2" s="121"/>
      <c r="CL2" s="221"/>
    </row>
    <row r="3" spans="2:148" ht="14.25" customHeight="1" x14ac:dyDescent="0.3">
      <c r="CI3" s="121"/>
      <c r="CJ3" s="121"/>
      <c r="CK3" s="121"/>
      <c r="CL3" s="221"/>
      <c r="DR3" s="275"/>
    </row>
    <row r="4" spans="2:148" ht="11.25" customHeight="1" thickBot="1" x14ac:dyDescent="0.35">
      <c r="CI4" s="121"/>
      <c r="CJ4" s="121" t="s">
        <v>1</v>
      </c>
      <c r="CK4" s="121"/>
      <c r="CL4" s="221"/>
    </row>
    <row r="5" spans="2:148" ht="18" customHeight="1" thickBot="1" x14ac:dyDescent="0.25">
      <c r="CW5" s="1153" t="s">
        <v>258</v>
      </c>
      <c r="CX5" s="278"/>
      <c r="CY5" s="278"/>
      <c r="CZ5" s="278"/>
      <c r="DA5" s="62"/>
      <c r="DB5" s="62"/>
      <c r="DC5" s="62"/>
      <c r="DD5" s="62"/>
      <c r="DE5" s="62"/>
      <c r="DF5" s="62"/>
      <c r="DG5" s="62"/>
      <c r="DH5" s="62"/>
      <c r="DI5" s="62"/>
      <c r="DJ5" s="278"/>
      <c r="DK5" s="278"/>
      <c r="DL5" s="278"/>
      <c r="DM5" s="62"/>
      <c r="DN5" s="62"/>
      <c r="DO5" s="62"/>
      <c r="DP5" s="62"/>
      <c r="DQ5" s="62"/>
      <c r="DR5" s="278"/>
      <c r="DS5" s="278"/>
      <c r="DT5" s="278"/>
      <c r="DU5" s="62"/>
      <c r="DV5" s="278"/>
      <c r="DW5" s="278"/>
      <c r="DX5" s="278"/>
      <c r="DY5" s="65"/>
    </row>
    <row r="6" spans="2:148" ht="16.5" thickBot="1" x14ac:dyDescent="0.3">
      <c r="B6" s="61"/>
      <c r="C6" s="303"/>
      <c r="D6" s="303"/>
      <c r="E6" s="303"/>
      <c r="F6" s="303"/>
      <c r="G6" s="400" t="str">
        <f>'2.1 Verkkopyynti'!D4</f>
        <v>Verkko1</v>
      </c>
      <c r="H6" s="62"/>
      <c r="I6" s="62"/>
      <c r="J6" s="303"/>
      <c r="K6" s="305" t="s">
        <v>1</v>
      </c>
      <c r="L6" s="62"/>
      <c r="M6" s="62"/>
      <c r="N6" s="301"/>
      <c r="P6" s="61"/>
      <c r="Q6" s="303"/>
      <c r="R6" s="303"/>
      <c r="S6" s="303"/>
      <c r="T6" s="303"/>
      <c r="U6" s="400" t="str">
        <f>'2.1 Verkkopyynti'!D62</f>
        <v>Verkko2</v>
      </c>
      <c r="V6" s="62"/>
      <c r="W6" s="62"/>
      <c r="X6" s="303"/>
      <c r="Y6" s="305" t="s">
        <v>1</v>
      </c>
      <c r="Z6" s="62"/>
      <c r="AA6" s="62"/>
      <c r="AB6" s="301"/>
      <c r="AD6" s="61" t="s">
        <v>1</v>
      </c>
      <c r="AE6" s="303" t="s">
        <v>1</v>
      </c>
      <c r="AF6" s="303"/>
      <c r="AG6" s="303" t="s">
        <v>1</v>
      </c>
      <c r="AH6" s="303"/>
      <c r="AI6" s="400" t="str">
        <f>'2.2 Rysäpyynti'!D4</f>
        <v>Isorysä1</v>
      </c>
      <c r="AJ6" s="62"/>
      <c r="AK6" s="62"/>
      <c r="AL6" s="303"/>
      <c r="AM6" s="305" t="s">
        <v>1</v>
      </c>
      <c r="AN6" s="62"/>
      <c r="AO6" s="62"/>
      <c r="AP6" s="301"/>
      <c r="AR6" s="61" t="s">
        <v>1</v>
      </c>
      <c r="AS6" s="303" t="s">
        <v>1</v>
      </c>
      <c r="AT6" s="303"/>
      <c r="AU6" s="303" t="s">
        <v>1</v>
      </c>
      <c r="AV6" s="303"/>
      <c r="AW6" s="400" t="str">
        <f>'2.2 Rysäpyynti'!D105</f>
        <v>Isorysä2</v>
      </c>
      <c r="AX6" s="62"/>
      <c r="AY6" s="62"/>
      <c r="AZ6" s="303"/>
      <c r="BA6" s="305" t="s">
        <v>1</v>
      </c>
      <c r="BB6" s="62"/>
      <c r="BC6" s="62"/>
      <c r="BD6" s="301"/>
      <c r="BE6" s="220"/>
      <c r="BF6" s="61"/>
      <c r="BG6" s="303"/>
      <c r="BH6" s="303"/>
      <c r="BI6" s="303"/>
      <c r="BJ6" s="303"/>
      <c r="BK6" s="400" t="str">
        <f>'2.2 Rysäpyynti'!K4</f>
        <v>PU-rysä1</v>
      </c>
      <c r="BL6" s="62"/>
      <c r="BM6" s="62"/>
      <c r="BN6" s="303"/>
      <c r="BO6" s="305" t="s">
        <v>1</v>
      </c>
      <c r="BP6" s="62"/>
      <c r="BQ6" s="62"/>
      <c r="BR6" s="301"/>
      <c r="BS6" s="220"/>
      <c r="BT6" s="61"/>
      <c r="BU6" s="303"/>
      <c r="BV6" s="303"/>
      <c r="BW6" s="303"/>
      <c r="BX6" s="303"/>
      <c r="BY6" s="400" t="str">
        <f>'2.2 Rysäpyynti'!K105</f>
        <v>PU-rysä2</v>
      </c>
      <c r="BZ6" s="62"/>
      <c r="CA6" s="62"/>
      <c r="CB6" s="303"/>
      <c r="CC6" s="305" t="s">
        <v>1</v>
      </c>
      <c r="CD6" s="62"/>
      <c r="CE6" s="62"/>
      <c r="CF6" s="301"/>
      <c r="CH6" s="103"/>
      <c r="CI6" s="1662" t="s">
        <v>253</v>
      </c>
      <c r="CJ6" s="1663"/>
      <c r="CK6" s="1663"/>
      <c r="CL6" s="1663"/>
      <c r="CM6" s="1663"/>
      <c r="CN6" s="1663"/>
      <c r="CO6" s="1663"/>
      <c r="CP6" s="1663"/>
      <c r="CQ6" s="1663"/>
      <c r="CR6" s="1663"/>
      <c r="CS6" s="1663"/>
      <c r="CT6" s="1664"/>
      <c r="CW6" s="94" t="s">
        <v>243</v>
      </c>
      <c r="CX6" s="270" t="s">
        <v>1</v>
      </c>
      <c r="CY6" s="271" t="s">
        <v>261</v>
      </c>
      <c r="CZ6" s="271"/>
      <c r="DA6" s="19"/>
      <c r="DB6" s="270" t="s">
        <v>1</v>
      </c>
      <c r="DC6" s="271" t="str">
        <f>G6</f>
        <v>Verkko1</v>
      </c>
      <c r="DD6" s="271"/>
      <c r="DE6" s="6"/>
      <c r="DF6" s="270" t="s">
        <v>1</v>
      </c>
      <c r="DG6" s="271" t="str">
        <f>U6</f>
        <v>Verkko2</v>
      </c>
      <c r="DH6" s="271"/>
      <c r="DI6" s="6"/>
      <c r="DJ6" s="270" t="s">
        <v>1</v>
      </c>
      <c r="DK6" s="271" t="str">
        <f>AI6</f>
        <v>Isorysä1</v>
      </c>
      <c r="DL6" s="271"/>
      <c r="DM6" s="6"/>
      <c r="DN6" s="270" t="s">
        <v>1</v>
      </c>
      <c r="DO6" s="271" t="str">
        <f>AW6</f>
        <v>Isorysä2</v>
      </c>
      <c r="DP6" s="271"/>
      <c r="DQ6" s="6"/>
      <c r="DR6" s="270" t="s">
        <v>1</v>
      </c>
      <c r="DS6" s="271" t="str">
        <f>BK6</f>
        <v>PU-rysä1</v>
      </c>
      <c r="DT6" s="271"/>
      <c r="DU6" s="6"/>
      <c r="DV6" s="271" t="s">
        <v>1</v>
      </c>
      <c r="DW6" s="271" t="str">
        <f>BY6</f>
        <v>PU-rysä2</v>
      </c>
      <c r="DX6" s="271"/>
      <c r="DY6" s="213"/>
      <c r="EN6" s="34"/>
      <c r="ER6" s="220"/>
    </row>
    <row r="7" spans="2:148" ht="13.5" thickBot="1" x14ac:dyDescent="0.25">
      <c r="B7" s="40"/>
      <c r="C7" s="1654" t="s">
        <v>279</v>
      </c>
      <c r="D7" s="1655"/>
      <c r="E7" s="1655"/>
      <c r="F7" s="1656"/>
      <c r="G7" s="1654" t="s">
        <v>278</v>
      </c>
      <c r="H7" s="1655"/>
      <c r="I7" s="1655"/>
      <c r="J7" s="1656"/>
      <c r="K7" s="1654" t="s">
        <v>280</v>
      </c>
      <c r="L7" s="1655"/>
      <c r="M7" s="1655"/>
      <c r="N7" s="1656"/>
      <c r="P7" s="40"/>
      <c r="Q7" s="1654" t="s">
        <v>279</v>
      </c>
      <c r="R7" s="1655"/>
      <c r="S7" s="1655"/>
      <c r="T7" s="1656"/>
      <c r="U7" s="1654" t="s">
        <v>278</v>
      </c>
      <c r="V7" s="1655"/>
      <c r="W7" s="1655"/>
      <c r="X7" s="1656"/>
      <c r="Y7" s="1654" t="s">
        <v>280</v>
      </c>
      <c r="Z7" s="1655" t="s">
        <v>1</v>
      </c>
      <c r="AA7" s="1655"/>
      <c r="AB7" s="1656"/>
      <c r="AD7" s="40"/>
      <c r="AE7" s="1654" t="s">
        <v>279</v>
      </c>
      <c r="AF7" s="1655"/>
      <c r="AG7" s="1655"/>
      <c r="AH7" s="1656"/>
      <c r="AI7" s="1654" t="s">
        <v>278</v>
      </c>
      <c r="AJ7" s="1655"/>
      <c r="AK7" s="1655"/>
      <c r="AL7" s="1656"/>
      <c r="AM7" s="1654" t="s">
        <v>280</v>
      </c>
      <c r="AN7" s="1655"/>
      <c r="AO7" s="1655"/>
      <c r="AP7" s="1656"/>
      <c r="AR7" s="40"/>
      <c r="AS7" s="1654" t="s">
        <v>279</v>
      </c>
      <c r="AT7" s="1655"/>
      <c r="AU7" s="1655"/>
      <c r="AV7" s="1656"/>
      <c r="AW7" s="1654" t="s">
        <v>278</v>
      </c>
      <c r="AX7" s="1655"/>
      <c r="AY7" s="1655"/>
      <c r="AZ7" s="1656"/>
      <c r="BA7" s="1654" t="s">
        <v>280</v>
      </c>
      <c r="BB7" s="1655" t="s">
        <v>1</v>
      </c>
      <c r="BC7" s="1655"/>
      <c r="BD7" s="1656"/>
      <c r="BE7" s="220"/>
      <c r="BF7" s="40"/>
      <c r="BG7" s="1654" t="s">
        <v>279</v>
      </c>
      <c r="BH7" s="1655"/>
      <c r="BI7" s="1655"/>
      <c r="BJ7" s="1656"/>
      <c r="BK7" s="1654" t="s">
        <v>278</v>
      </c>
      <c r="BL7" s="1655"/>
      <c r="BM7" s="1655"/>
      <c r="BN7" s="1656"/>
      <c r="BO7" s="1654" t="s">
        <v>280</v>
      </c>
      <c r="BP7" s="1655" t="s">
        <v>1</v>
      </c>
      <c r="BQ7" s="1655"/>
      <c r="BR7" s="1656"/>
      <c r="BT7" s="40"/>
      <c r="BU7" s="1654" t="s">
        <v>279</v>
      </c>
      <c r="BV7" s="1655"/>
      <c r="BW7" s="1655"/>
      <c r="BX7" s="1656"/>
      <c r="BY7" s="1654" t="s">
        <v>278</v>
      </c>
      <c r="BZ7" s="1655"/>
      <c r="CA7" s="1655"/>
      <c r="CB7" s="1656"/>
      <c r="CC7" s="1654" t="s">
        <v>280</v>
      </c>
      <c r="CD7" s="1655" t="s">
        <v>1</v>
      </c>
      <c r="CE7" s="1655"/>
      <c r="CF7" s="1656"/>
      <c r="CH7" s="54"/>
      <c r="CI7" s="1654" t="s">
        <v>279</v>
      </c>
      <c r="CJ7" s="1655"/>
      <c r="CK7" s="1655"/>
      <c r="CL7" s="1656"/>
      <c r="CM7" s="1654" t="s">
        <v>278</v>
      </c>
      <c r="CN7" s="1655"/>
      <c r="CO7" s="1655"/>
      <c r="CP7" s="1656"/>
      <c r="CQ7" s="1654" t="s">
        <v>280</v>
      </c>
      <c r="CR7" s="1655"/>
      <c r="CS7" s="1655"/>
      <c r="CT7" s="1656"/>
      <c r="CW7" s="233" t="s">
        <v>1</v>
      </c>
      <c r="CX7" s="272" t="s">
        <v>256</v>
      </c>
      <c r="CY7" s="273" t="s">
        <v>257</v>
      </c>
      <c r="CZ7" s="273" t="s">
        <v>259</v>
      </c>
      <c r="DA7" s="235" t="s">
        <v>215</v>
      </c>
      <c r="DB7" s="272" t="s">
        <v>256</v>
      </c>
      <c r="DC7" s="273" t="s">
        <v>257</v>
      </c>
      <c r="DD7" s="273" t="s">
        <v>259</v>
      </c>
      <c r="DE7" s="236" t="s">
        <v>215</v>
      </c>
      <c r="DF7" s="272" t="s">
        <v>256</v>
      </c>
      <c r="DG7" s="273" t="s">
        <v>257</v>
      </c>
      <c r="DH7" s="273" t="s">
        <v>259</v>
      </c>
      <c r="DI7" s="236" t="s">
        <v>215</v>
      </c>
      <c r="DJ7" s="272" t="s">
        <v>256</v>
      </c>
      <c r="DK7" s="273" t="s">
        <v>257</v>
      </c>
      <c r="DL7" s="273" t="s">
        <v>259</v>
      </c>
      <c r="DM7" s="236" t="s">
        <v>215</v>
      </c>
      <c r="DN7" s="272" t="s">
        <v>256</v>
      </c>
      <c r="DO7" s="273" t="s">
        <v>257</v>
      </c>
      <c r="DP7" s="273" t="s">
        <v>259</v>
      </c>
      <c r="DQ7" s="236" t="s">
        <v>215</v>
      </c>
      <c r="DR7" s="272" t="s">
        <v>256</v>
      </c>
      <c r="DS7" s="273" t="s">
        <v>257</v>
      </c>
      <c r="DT7" s="273" t="s">
        <v>259</v>
      </c>
      <c r="DU7" s="236" t="s">
        <v>215</v>
      </c>
      <c r="DV7" s="274" t="s">
        <v>256</v>
      </c>
      <c r="DW7" s="273" t="s">
        <v>257</v>
      </c>
      <c r="DX7" s="273" t="s">
        <v>259</v>
      </c>
      <c r="DY7" s="820" t="s">
        <v>215</v>
      </c>
      <c r="EN7" s="34"/>
      <c r="EO7" s="34"/>
      <c r="ER7" s="220"/>
    </row>
    <row r="8" spans="2:148" ht="13.5" thickBot="1" x14ac:dyDescent="0.25">
      <c r="B8" s="40" t="s">
        <v>217</v>
      </c>
      <c r="C8" s="7"/>
      <c r="D8" s="14"/>
      <c r="E8" s="14"/>
      <c r="F8" s="304" t="s">
        <v>1</v>
      </c>
      <c r="G8" s="200"/>
      <c r="H8" s="18"/>
      <c r="I8" s="18"/>
      <c r="J8" s="295" t="s">
        <v>1</v>
      </c>
      <c r="K8" s="7"/>
      <c r="L8" s="14"/>
      <c r="M8" s="14"/>
      <c r="N8" s="304" t="s">
        <v>1</v>
      </c>
      <c r="P8" s="40" t="s">
        <v>217</v>
      </c>
      <c r="Q8" s="7"/>
      <c r="R8" s="14"/>
      <c r="S8" s="14"/>
      <c r="T8" s="304" t="s">
        <v>1</v>
      </c>
      <c r="U8" s="200"/>
      <c r="V8" s="18"/>
      <c r="W8" s="18"/>
      <c r="X8" s="295" t="s">
        <v>1</v>
      </c>
      <c r="Y8" s="7"/>
      <c r="Z8" s="14"/>
      <c r="AA8" s="14"/>
      <c r="AB8" s="304" t="s">
        <v>1</v>
      </c>
      <c r="AD8" s="40" t="s">
        <v>217</v>
      </c>
      <c r="AE8" s="7"/>
      <c r="AF8" s="14"/>
      <c r="AG8" s="14"/>
      <c r="AH8" s="304" t="s">
        <v>1</v>
      </c>
      <c r="AI8" s="200"/>
      <c r="AJ8" s="18"/>
      <c r="AK8" s="18"/>
      <c r="AL8" s="295" t="s">
        <v>1</v>
      </c>
      <c r="AM8" s="7"/>
      <c r="AN8" s="14"/>
      <c r="AO8" s="14"/>
      <c r="AP8" s="304" t="s">
        <v>1</v>
      </c>
      <c r="AR8" s="40" t="s">
        <v>217</v>
      </c>
      <c r="AS8" s="7"/>
      <c r="AT8" s="14"/>
      <c r="AU8" s="14"/>
      <c r="AV8" s="304" t="s">
        <v>1</v>
      </c>
      <c r="AW8" s="200"/>
      <c r="AX8" s="18"/>
      <c r="AY8" s="18"/>
      <c r="AZ8" s="295" t="s">
        <v>1</v>
      </c>
      <c r="BA8" s="7"/>
      <c r="BB8" s="14"/>
      <c r="BC8" s="14"/>
      <c r="BD8" s="304" t="s">
        <v>1</v>
      </c>
      <c r="BE8" s="296"/>
      <c r="BF8" s="40" t="s">
        <v>217</v>
      </c>
      <c r="BG8" s="7"/>
      <c r="BH8" s="14"/>
      <c r="BI8" s="14"/>
      <c r="BJ8" s="304" t="s">
        <v>1</v>
      </c>
      <c r="BK8" s="200"/>
      <c r="BL8" s="18"/>
      <c r="BM8" s="18"/>
      <c r="BN8" s="295" t="s">
        <v>1</v>
      </c>
      <c r="BO8" s="7"/>
      <c r="BP8" s="14"/>
      <c r="BQ8" s="14"/>
      <c r="BR8" s="304" t="s">
        <v>1</v>
      </c>
      <c r="BS8" s="296"/>
      <c r="BT8" s="40" t="s">
        <v>217</v>
      </c>
      <c r="BU8" s="7"/>
      <c r="BV8" s="14"/>
      <c r="BW8" s="14"/>
      <c r="BX8" s="304" t="s">
        <v>1</v>
      </c>
      <c r="BY8" s="200"/>
      <c r="BZ8" s="18"/>
      <c r="CA8" s="18"/>
      <c r="CB8" s="295" t="s">
        <v>1</v>
      </c>
      <c r="CC8" s="7"/>
      <c r="CD8" s="14"/>
      <c r="CE8" s="14"/>
      <c r="CF8" s="304" t="s">
        <v>1</v>
      </c>
      <c r="CH8" s="40" t="s">
        <v>217</v>
      </c>
      <c r="CI8" s="200"/>
      <c r="CJ8" s="14"/>
      <c r="CK8" s="14"/>
      <c r="CL8" s="304" t="s">
        <v>1</v>
      </c>
      <c r="CM8" s="7"/>
      <c r="CN8" s="14"/>
      <c r="CO8" s="14"/>
      <c r="CP8" s="304" t="s">
        <v>1</v>
      </c>
      <c r="CQ8" s="7"/>
      <c r="CR8" s="14"/>
      <c r="CS8" s="14"/>
      <c r="CT8" s="304" t="s">
        <v>1</v>
      </c>
      <c r="CW8" s="230" t="s">
        <v>100</v>
      </c>
      <c r="CX8" s="634">
        <f>CK11</f>
        <v>0</v>
      </c>
      <c r="CY8" s="600">
        <f>CO11</f>
        <v>0</v>
      </c>
      <c r="CZ8" s="600">
        <f>CY8-CX8</f>
        <v>0</v>
      </c>
      <c r="DA8" s="685">
        <f>IF(CZ8=0,0,CZ8/CX8)</f>
        <v>0</v>
      </c>
      <c r="DB8" s="634">
        <f>E11</f>
        <v>0</v>
      </c>
      <c r="DC8" s="600">
        <f t="shared" ref="DC8:DC19" si="0">I11</f>
        <v>0</v>
      </c>
      <c r="DD8" s="600">
        <f>DC8-DB8</f>
        <v>0</v>
      </c>
      <c r="DE8" s="685">
        <f>IF(DD8=0,0,DD8/DB8)</f>
        <v>0</v>
      </c>
      <c r="DF8" s="634">
        <f>S11</f>
        <v>0</v>
      </c>
      <c r="DG8" s="600">
        <f>W11</f>
        <v>0</v>
      </c>
      <c r="DH8" s="600">
        <f>DG8-DF8</f>
        <v>0</v>
      </c>
      <c r="DI8" s="685">
        <f>IF(DH8=0,0,DH8/DF8)</f>
        <v>0</v>
      </c>
      <c r="DJ8" s="634">
        <f>AG11</f>
        <v>0</v>
      </c>
      <c r="DK8" s="600">
        <f t="shared" ref="DK8:DK19" si="1">AK11</f>
        <v>0</v>
      </c>
      <c r="DL8" s="600">
        <f>DK8-DJ8</f>
        <v>0</v>
      </c>
      <c r="DM8" s="685">
        <f>IF(DL8=0,0,DL8/DJ8)</f>
        <v>0</v>
      </c>
      <c r="DN8" s="634">
        <f>AU11</f>
        <v>0</v>
      </c>
      <c r="DO8" s="600">
        <f>AY11</f>
        <v>0</v>
      </c>
      <c r="DP8" s="600">
        <f>DO8-DN8</f>
        <v>0</v>
      </c>
      <c r="DQ8" s="685">
        <f>IF(DP8=0,0,DP8/DN8)</f>
        <v>0</v>
      </c>
      <c r="DR8" s="634">
        <f t="shared" ref="DR8:DR19" si="2">BI11</f>
        <v>0</v>
      </c>
      <c r="DS8" s="600">
        <f t="shared" ref="DS8:DS19" si="3">BM11</f>
        <v>0</v>
      </c>
      <c r="DT8" s="600">
        <f>DS8-DR8</f>
        <v>0</v>
      </c>
      <c r="DU8" s="685">
        <f>IF(DT8=0,0,DT8/DR8)</f>
        <v>0</v>
      </c>
      <c r="DV8" s="634">
        <f>BW11</f>
        <v>0</v>
      </c>
      <c r="DW8" s="600">
        <f>CA11</f>
        <v>0</v>
      </c>
      <c r="DX8" s="600">
        <f>DW8-DV8</f>
        <v>0</v>
      </c>
      <c r="DY8" s="469">
        <f>IF(DX8=0,0,DX8/DV8)</f>
        <v>0</v>
      </c>
      <c r="EN8" s="34"/>
      <c r="ER8" s="296"/>
    </row>
    <row r="9" spans="2:148" s="34" customFormat="1" x14ac:dyDescent="0.2">
      <c r="B9" s="91" t="s">
        <v>243</v>
      </c>
      <c r="C9" s="299" t="s">
        <v>238</v>
      </c>
      <c r="D9" s="228" t="s">
        <v>239</v>
      </c>
      <c r="E9" s="206" t="s">
        <v>240</v>
      </c>
      <c r="F9" s="408" t="s">
        <v>277</v>
      </c>
      <c r="G9" s="206" t="str">
        <f t="shared" ref="G9:I10" si="4">C9</f>
        <v>Saalis,</v>
      </c>
      <c r="H9" s="228" t="str">
        <f t="shared" si="4"/>
        <v>Hinta,</v>
      </c>
      <c r="I9" s="206" t="str">
        <f t="shared" si="4"/>
        <v>Arvo,</v>
      </c>
      <c r="J9" s="408" t="s">
        <v>277</v>
      </c>
      <c r="K9" s="299" t="str">
        <f t="shared" ref="K9:M10" si="5">G9</f>
        <v>Saalis,</v>
      </c>
      <c r="L9" s="204" t="str">
        <f t="shared" si="5"/>
        <v>Hinta,</v>
      </c>
      <c r="M9" s="206" t="str">
        <f t="shared" si="5"/>
        <v>Arvo,</v>
      </c>
      <c r="N9" s="408" t="s">
        <v>215</v>
      </c>
      <c r="P9" s="91" t="s">
        <v>243</v>
      </c>
      <c r="Q9" s="299" t="s">
        <v>238</v>
      </c>
      <c r="R9" s="228" t="s">
        <v>239</v>
      </c>
      <c r="S9" s="206" t="s">
        <v>240</v>
      </c>
      <c r="T9" s="408" t="s">
        <v>277</v>
      </c>
      <c r="U9" s="206" t="str">
        <f t="shared" ref="U9:W10" si="6">Q9</f>
        <v>Saalis,</v>
      </c>
      <c r="V9" s="228" t="str">
        <f t="shared" si="6"/>
        <v>Hinta,</v>
      </c>
      <c r="W9" s="206" t="str">
        <f t="shared" si="6"/>
        <v>Arvo,</v>
      </c>
      <c r="X9" s="408" t="s">
        <v>277</v>
      </c>
      <c r="Y9" s="299" t="str">
        <f t="shared" ref="Y9:AA10" si="7">U9</f>
        <v>Saalis,</v>
      </c>
      <c r="Z9" s="204" t="str">
        <f t="shared" si="7"/>
        <v>Hinta,</v>
      </c>
      <c r="AA9" s="206" t="str">
        <f t="shared" si="7"/>
        <v>Arvo,</v>
      </c>
      <c r="AB9" s="408" t="s">
        <v>215</v>
      </c>
      <c r="AD9" s="91" t="s">
        <v>243</v>
      </c>
      <c r="AE9" s="299" t="s">
        <v>238</v>
      </c>
      <c r="AF9" s="228" t="s">
        <v>239</v>
      </c>
      <c r="AG9" s="206" t="s">
        <v>240</v>
      </c>
      <c r="AH9" s="408" t="s">
        <v>277</v>
      </c>
      <c r="AI9" s="206" t="str">
        <f t="shared" ref="AI9:AK10" si="8">AE9</f>
        <v>Saalis,</v>
      </c>
      <c r="AJ9" s="228" t="str">
        <f t="shared" si="8"/>
        <v>Hinta,</v>
      </c>
      <c r="AK9" s="206" t="str">
        <f t="shared" si="8"/>
        <v>Arvo,</v>
      </c>
      <c r="AL9" s="408" t="s">
        <v>277</v>
      </c>
      <c r="AM9" s="299" t="str">
        <f t="shared" ref="AM9:AO10" si="9">AI9</f>
        <v>Saalis,</v>
      </c>
      <c r="AN9" s="204" t="str">
        <f t="shared" si="9"/>
        <v>Hinta,</v>
      </c>
      <c r="AO9" s="206" t="str">
        <f t="shared" si="9"/>
        <v>Arvo,</v>
      </c>
      <c r="AP9" s="408" t="s">
        <v>215</v>
      </c>
      <c r="AR9" s="91" t="s">
        <v>243</v>
      </c>
      <c r="AS9" s="299" t="s">
        <v>238</v>
      </c>
      <c r="AT9" s="228" t="s">
        <v>239</v>
      </c>
      <c r="AU9" s="206" t="s">
        <v>240</v>
      </c>
      <c r="AV9" s="408" t="s">
        <v>277</v>
      </c>
      <c r="AW9" s="206" t="str">
        <f t="shared" ref="AW9:AY10" si="10">AS9</f>
        <v>Saalis,</v>
      </c>
      <c r="AX9" s="228" t="str">
        <f t="shared" si="10"/>
        <v>Hinta,</v>
      </c>
      <c r="AY9" s="206" t="str">
        <f t="shared" si="10"/>
        <v>Arvo,</v>
      </c>
      <c r="AZ9" s="408" t="s">
        <v>277</v>
      </c>
      <c r="BA9" s="299" t="str">
        <f t="shared" ref="BA9:BC10" si="11">AW9</f>
        <v>Saalis,</v>
      </c>
      <c r="BB9" s="204" t="str">
        <f t="shared" si="11"/>
        <v>Hinta,</v>
      </c>
      <c r="BC9" s="206" t="str">
        <f t="shared" si="11"/>
        <v>Arvo,</v>
      </c>
      <c r="BD9" s="408" t="s">
        <v>215</v>
      </c>
      <c r="BE9" s="296"/>
      <c r="BF9" s="91" t="s">
        <v>243</v>
      </c>
      <c r="BG9" s="299" t="s">
        <v>238</v>
      </c>
      <c r="BH9" s="228" t="s">
        <v>239</v>
      </c>
      <c r="BI9" s="206" t="s">
        <v>240</v>
      </c>
      <c r="BJ9" s="408" t="s">
        <v>277</v>
      </c>
      <c r="BK9" s="206" t="str">
        <f t="shared" ref="BK9:BM10" si="12">BG9</f>
        <v>Saalis,</v>
      </c>
      <c r="BL9" s="228" t="str">
        <f t="shared" si="12"/>
        <v>Hinta,</v>
      </c>
      <c r="BM9" s="206" t="str">
        <f t="shared" si="12"/>
        <v>Arvo,</v>
      </c>
      <c r="BN9" s="408" t="s">
        <v>277</v>
      </c>
      <c r="BO9" s="299" t="str">
        <f t="shared" ref="BO9:BQ10" si="13">BK9</f>
        <v>Saalis,</v>
      </c>
      <c r="BP9" s="204" t="str">
        <f t="shared" si="13"/>
        <v>Hinta,</v>
      </c>
      <c r="BQ9" s="206" t="str">
        <f t="shared" si="13"/>
        <v>Arvo,</v>
      </c>
      <c r="BR9" s="408" t="s">
        <v>215</v>
      </c>
      <c r="BS9" s="296"/>
      <c r="BT9" s="91" t="s">
        <v>243</v>
      </c>
      <c r="BU9" s="299" t="s">
        <v>238</v>
      </c>
      <c r="BV9" s="228" t="s">
        <v>239</v>
      </c>
      <c r="BW9" s="206" t="s">
        <v>240</v>
      </c>
      <c r="BX9" s="408" t="s">
        <v>277</v>
      </c>
      <c r="BY9" s="206" t="str">
        <f t="shared" ref="BY9:CA10" si="14">BU9</f>
        <v>Saalis,</v>
      </c>
      <c r="BZ9" s="228" t="str">
        <f t="shared" si="14"/>
        <v>Hinta,</v>
      </c>
      <c r="CA9" s="206" t="str">
        <f t="shared" si="14"/>
        <v>Arvo,</v>
      </c>
      <c r="CB9" s="408" t="s">
        <v>277</v>
      </c>
      <c r="CC9" s="299" t="str">
        <f t="shared" ref="CC9:CE10" si="15">BY9</f>
        <v>Saalis,</v>
      </c>
      <c r="CD9" s="204" t="str">
        <f t="shared" si="15"/>
        <v>Hinta,</v>
      </c>
      <c r="CE9" s="206" t="str">
        <f t="shared" si="15"/>
        <v>Arvo,</v>
      </c>
      <c r="CF9" s="408" t="s">
        <v>215</v>
      </c>
      <c r="CG9"/>
      <c r="CH9" s="91" t="s">
        <v>243</v>
      </c>
      <c r="CI9" s="299" t="s">
        <v>238</v>
      </c>
      <c r="CJ9" s="293" t="s">
        <v>239</v>
      </c>
      <c r="CK9" s="294" t="s">
        <v>240</v>
      </c>
      <c r="CL9" s="406" t="s">
        <v>277</v>
      </c>
      <c r="CM9" s="299" t="str">
        <f t="shared" ref="CM9:CO10" si="16">CI9</f>
        <v>Saalis,</v>
      </c>
      <c r="CN9" s="228" t="str">
        <f t="shared" si="16"/>
        <v>Hinta,</v>
      </c>
      <c r="CO9" s="206" t="str">
        <f t="shared" si="16"/>
        <v>Arvo,</v>
      </c>
      <c r="CP9" s="408" t="s">
        <v>277</v>
      </c>
      <c r="CQ9" s="299" t="str">
        <f t="shared" ref="CQ9:CS10" si="17">CM9</f>
        <v>Saalis,</v>
      </c>
      <c r="CR9" s="204" t="str">
        <f t="shared" si="17"/>
        <v>Hinta,</v>
      </c>
      <c r="CS9" s="206" t="str">
        <f t="shared" si="17"/>
        <v>Arvo,</v>
      </c>
      <c r="CT9" s="408" t="s">
        <v>215</v>
      </c>
      <c r="CW9" s="209" t="s">
        <v>108</v>
      </c>
      <c r="CX9" s="635">
        <f>CK12</f>
        <v>0</v>
      </c>
      <c r="CY9" s="604">
        <f>CO12</f>
        <v>0</v>
      </c>
      <c r="CZ9" s="604">
        <f>CY9-CX9</f>
        <v>0</v>
      </c>
      <c r="DA9" s="686">
        <f>IF(CZ9=0,0,CZ9/CX9)</f>
        <v>0</v>
      </c>
      <c r="DB9" s="635">
        <f t="shared" ref="DB9:DB19" si="18">E12</f>
        <v>0</v>
      </c>
      <c r="DC9" s="604">
        <f t="shared" si="0"/>
        <v>0</v>
      </c>
      <c r="DD9" s="604">
        <f t="shared" ref="DD9:DD19" si="19">DC9-DB9</f>
        <v>0</v>
      </c>
      <c r="DE9" s="686">
        <f t="shared" ref="DE9:DE20" si="20">IF(DD9=0,0,DD9/DB9)</f>
        <v>0</v>
      </c>
      <c r="DF9" s="635">
        <f t="shared" ref="DF9:DF19" si="21">S12</f>
        <v>0</v>
      </c>
      <c r="DG9" s="604">
        <f t="shared" ref="DG9:DG19" si="22">W12</f>
        <v>0</v>
      </c>
      <c r="DH9" s="604">
        <f t="shared" ref="DH9:DH19" si="23">DG9-DF9</f>
        <v>0</v>
      </c>
      <c r="DI9" s="686">
        <f t="shared" ref="DI9:DI20" si="24">IF(DH9=0,0,DH9/DF9)</f>
        <v>0</v>
      </c>
      <c r="DJ9" s="635">
        <f t="shared" ref="DJ9:DJ19" si="25">AG12</f>
        <v>0</v>
      </c>
      <c r="DK9" s="604">
        <f t="shared" si="1"/>
        <v>0</v>
      </c>
      <c r="DL9" s="604">
        <f t="shared" ref="DL9:DL19" si="26">DK9-DJ9</f>
        <v>0</v>
      </c>
      <c r="DM9" s="686">
        <f t="shared" ref="DM9:DM20" si="27">IF(DL9=0,0,DL9/DJ9)</f>
        <v>0</v>
      </c>
      <c r="DN9" s="635">
        <f t="shared" ref="DN9:DN19" si="28">AU12</f>
        <v>0</v>
      </c>
      <c r="DO9" s="604">
        <f t="shared" ref="DO9:DO19" si="29">AY12</f>
        <v>0</v>
      </c>
      <c r="DP9" s="604">
        <f t="shared" ref="DP9:DP19" si="30">DO9-DN9</f>
        <v>0</v>
      </c>
      <c r="DQ9" s="686">
        <f t="shared" ref="DQ9:DQ20" si="31">IF(DP9=0,0,DP9/DN9)</f>
        <v>0</v>
      </c>
      <c r="DR9" s="635">
        <f t="shared" si="2"/>
        <v>0</v>
      </c>
      <c r="DS9" s="604">
        <f t="shared" si="3"/>
        <v>0</v>
      </c>
      <c r="DT9" s="604">
        <f t="shared" ref="DT9:DT19" si="32">DS9-DR9</f>
        <v>0</v>
      </c>
      <c r="DU9" s="686">
        <f>IF(DT9=0,0,DT9/DR9)</f>
        <v>0</v>
      </c>
      <c r="DV9" s="635">
        <f t="shared" ref="DV9:DV19" si="33">BW12</f>
        <v>0</v>
      </c>
      <c r="DW9" s="604">
        <f t="shared" ref="DW9:DW19" si="34">CA12</f>
        <v>0</v>
      </c>
      <c r="DX9" s="604">
        <f t="shared" ref="DX9:DX19" si="35">DW9-DV9</f>
        <v>0</v>
      </c>
      <c r="DY9" s="472">
        <f t="shared" ref="DY9:DY19" si="36">IF(DX9=0,0,DX9/DV9)</f>
        <v>0</v>
      </c>
      <c r="EN9" s="319"/>
      <c r="EO9" s="320"/>
      <c r="EP9" s="320"/>
      <c r="EQ9" s="320"/>
      <c r="ER9" s="296"/>
    </row>
    <row r="10" spans="2:148" s="34" customFormat="1" x14ac:dyDescent="0.2">
      <c r="B10" s="302" t="s">
        <v>244</v>
      </c>
      <c r="C10" s="300" t="s">
        <v>241</v>
      </c>
      <c r="D10" s="229" t="s">
        <v>242</v>
      </c>
      <c r="E10" s="207" t="s">
        <v>145</v>
      </c>
      <c r="F10" s="407" t="s">
        <v>255</v>
      </c>
      <c r="G10" s="207" t="str">
        <f t="shared" si="4"/>
        <v>kg</v>
      </c>
      <c r="H10" s="229" t="str">
        <f t="shared" si="4"/>
        <v>€/kg</v>
      </c>
      <c r="I10" s="207" t="str">
        <f t="shared" si="4"/>
        <v>€</v>
      </c>
      <c r="J10" s="407" t="s">
        <v>255</v>
      </c>
      <c r="K10" s="300" t="str">
        <f t="shared" si="5"/>
        <v>kg</v>
      </c>
      <c r="L10" s="205" t="str">
        <f t="shared" si="5"/>
        <v>€/kg</v>
      </c>
      <c r="M10" s="207" t="str">
        <f t="shared" si="5"/>
        <v>€</v>
      </c>
      <c r="N10" s="407" t="s">
        <v>1</v>
      </c>
      <c r="P10" s="302" t="s">
        <v>244</v>
      </c>
      <c r="Q10" s="300" t="s">
        <v>241</v>
      </c>
      <c r="R10" s="229" t="s">
        <v>242</v>
      </c>
      <c r="S10" s="207" t="s">
        <v>145</v>
      </c>
      <c r="T10" s="407" t="s">
        <v>255</v>
      </c>
      <c r="U10" s="207" t="str">
        <f t="shared" si="6"/>
        <v>kg</v>
      </c>
      <c r="V10" s="229" t="str">
        <f t="shared" si="6"/>
        <v>€/kg</v>
      </c>
      <c r="W10" s="207" t="str">
        <f t="shared" si="6"/>
        <v>€</v>
      </c>
      <c r="X10" s="407" t="s">
        <v>255</v>
      </c>
      <c r="Y10" s="300" t="str">
        <f t="shared" si="7"/>
        <v>kg</v>
      </c>
      <c r="Z10" s="205" t="str">
        <f t="shared" si="7"/>
        <v>€/kg</v>
      </c>
      <c r="AA10" s="207" t="str">
        <f t="shared" si="7"/>
        <v>€</v>
      </c>
      <c r="AB10" s="407" t="s">
        <v>1</v>
      </c>
      <c r="AD10" s="302" t="s">
        <v>244</v>
      </c>
      <c r="AE10" s="300" t="s">
        <v>241</v>
      </c>
      <c r="AF10" s="229" t="s">
        <v>242</v>
      </c>
      <c r="AG10" s="207" t="s">
        <v>145</v>
      </c>
      <c r="AH10" s="407" t="s">
        <v>255</v>
      </c>
      <c r="AI10" s="207" t="str">
        <f t="shared" si="8"/>
        <v>kg</v>
      </c>
      <c r="AJ10" s="229" t="str">
        <f t="shared" si="8"/>
        <v>€/kg</v>
      </c>
      <c r="AK10" s="207" t="str">
        <f t="shared" si="8"/>
        <v>€</v>
      </c>
      <c r="AL10" s="407" t="s">
        <v>255</v>
      </c>
      <c r="AM10" s="300" t="str">
        <f t="shared" si="9"/>
        <v>kg</v>
      </c>
      <c r="AN10" s="205" t="str">
        <f t="shared" si="9"/>
        <v>€/kg</v>
      </c>
      <c r="AO10" s="207" t="str">
        <f t="shared" si="9"/>
        <v>€</v>
      </c>
      <c r="AP10" s="407" t="s">
        <v>1</v>
      </c>
      <c r="AR10" s="302" t="s">
        <v>244</v>
      </c>
      <c r="AS10" s="300" t="s">
        <v>241</v>
      </c>
      <c r="AT10" s="229" t="s">
        <v>242</v>
      </c>
      <c r="AU10" s="207" t="s">
        <v>145</v>
      </c>
      <c r="AV10" s="407" t="s">
        <v>255</v>
      </c>
      <c r="AW10" s="207" t="str">
        <f t="shared" si="10"/>
        <v>kg</v>
      </c>
      <c r="AX10" s="229" t="str">
        <f t="shared" si="10"/>
        <v>€/kg</v>
      </c>
      <c r="AY10" s="207" t="str">
        <f t="shared" si="10"/>
        <v>€</v>
      </c>
      <c r="AZ10" s="407" t="s">
        <v>255</v>
      </c>
      <c r="BA10" s="300" t="str">
        <f t="shared" si="11"/>
        <v>kg</v>
      </c>
      <c r="BB10" s="205" t="str">
        <f t="shared" si="11"/>
        <v>€/kg</v>
      </c>
      <c r="BC10" s="207" t="str">
        <f t="shared" si="11"/>
        <v>€</v>
      </c>
      <c r="BD10" s="407" t="s">
        <v>1</v>
      </c>
      <c r="BE10" s="296"/>
      <c r="BF10" s="302" t="s">
        <v>244</v>
      </c>
      <c r="BG10" s="300" t="s">
        <v>241</v>
      </c>
      <c r="BH10" s="229" t="s">
        <v>242</v>
      </c>
      <c r="BI10" s="207" t="s">
        <v>145</v>
      </c>
      <c r="BJ10" s="407" t="s">
        <v>255</v>
      </c>
      <c r="BK10" s="207" t="str">
        <f t="shared" si="12"/>
        <v>kg</v>
      </c>
      <c r="BL10" s="229" t="str">
        <f t="shared" si="12"/>
        <v>€/kg</v>
      </c>
      <c r="BM10" s="207" t="str">
        <f t="shared" si="12"/>
        <v>€</v>
      </c>
      <c r="BN10" s="407" t="s">
        <v>255</v>
      </c>
      <c r="BO10" s="300" t="str">
        <f t="shared" si="13"/>
        <v>kg</v>
      </c>
      <c r="BP10" s="205" t="str">
        <f t="shared" si="13"/>
        <v>€/kg</v>
      </c>
      <c r="BQ10" s="207" t="str">
        <f t="shared" si="13"/>
        <v>€</v>
      </c>
      <c r="BR10" s="407" t="s">
        <v>1</v>
      </c>
      <c r="BS10" s="296"/>
      <c r="BT10" s="302" t="s">
        <v>244</v>
      </c>
      <c r="BU10" s="300" t="s">
        <v>241</v>
      </c>
      <c r="BV10" s="229" t="s">
        <v>242</v>
      </c>
      <c r="BW10" s="207" t="s">
        <v>145</v>
      </c>
      <c r="BX10" s="407" t="s">
        <v>255</v>
      </c>
      <c r="BY10" s="207" t="str">
        <f t="shared" si="14"/>
        <v>kg</v>
      </c>
      <c r="BZ10" s="229" t="str">
        <f t="shared" si="14"/>
        <v>€/kg</v>
      </c>
      <c r="CA10" s="207" t="str">
        <f t="shared" si="14"/>
        <v>€</v>
      </c>
      <c r="CB10" s="407" t="s">
        <v>255</v>
      </c>
      <c r="CC10" s="300" t="str">
        <f t="shared" si="15"/>
        <v>kg</v>
      </c>
      <c r="CD10" s="205" t="str">
        <f t="shared" si="15"/>
        <v>€/kg</v>
      </c>
      <c r="CE10" s="207" t="str">
        <f t="shared" si="15"/>
        <v>€</v>
      </c>
      <c r="CF10" s="407" t="s">
        <v>1</v>
      </c>
      <c r="CG10"/>
      <c r="CH10" s="302" t="s">
        <v>244</v>
      </c>
      <c r="CI10" s="300" t="s">
        <v>241</v>
      </c>
      <c r="CJ10" s="229" t="s">
        <v>242</v>
      </c>
      <c r="CK10" s="207" t="s">
        <v>145</v>
      </c>
      <c r="CL10" s="407" t="s">
        <v>255</v>
      </c>
      <c r="CM10" s="300" t="str">
        <f t="shared" si="16"/>
        <v>kg</v>
      </c>
      <c r="CN10" s="229" t="str">
        <f t="shared" si="16"/>
        <v>€/kg</v>
      </c>
      <c r="CO10" s="207" t="str">
        <f t="shared" si="16"/>
        <v>€</v>
      </c>
      <c r="CP10" s="407" t="s">
        <v>255</v>
      </c>
      <c r="CQ10" s="300" t="str">
        <f t="shared" si="17"/>
        <v>kg</v>
      </c>
      <c r="CR10" s="205" t="str">
        <f t="shared" si="17"/>
        <v>€/kg</v>
      </c>
      <c r="CS10" s="207" t="str">
        <f t="shared" si="17"/>
        <v>€</v>
      </c>
      <c r="CT10" s="407" t="s">
        <v>1</v>
      </c>
      <c r="CW10" s="209" t="s">
        <v>101</v>
      </c>
      <c r="CX10" s="635">
        <f t="shared" ref="CX10:CX18" si="37">CK13</f>
        <v>0</v>
      </c>
      <c r="CY10" s="604">
        <f t="shared" ref="CY10:CY19" si="38">CO13</f>
        <v>0</v>
      </c>
      <c r="CZ10" s="604">
        <f>CY10-CX10</f>
        <v>0</v>
      </c>
      <c r="DA10" s="686">
        <f t="shared" ref="DA10:DA19" si="39">IF(CZ10=0,0,CZ10/CX10)</f>
        <v>0</v>
      </c>
      <c r="DB10" s="635">
        <f t="shared" si="18"/>
        <v>0</v>
      </c>
      <c r="DC10" s="604">
        <f t="shared" si="0"/>
        <v>0</v>
      </c>
      <c r="DD10" s="604">
        <f t="shared" si="19"/>
        <v>0</v>
      </c>
      <c r="DE10" s="686">
        <f t="shared" si="20"/>
        <v>0</v>
      </c>
      <c r="DF10" s="635">
        <f t="shared" si="21"/>
        <v>0</v>
      </c>
      <c r="DG10" s="604">
        <f t="shared" si="22"/>
        <v>0</v>
      </c>
      <c r="DH10" s="604">
        <f t="shared" si="23"/>
        <v>0</v>
      </c>
      <c r="DI10" s="686">
        <f t="shared" si="24"/>
        <v>0</v>
      </c>
      <c r="DJ10" s="635">
        <f t="shared" si="25"/>
        <v>0</v>
      </c>
      <c r="DK10" s="604">
        <f t="shared" si="1"/>
        <v>0</v>
      </c>
      <c r="DL10" s="604">
        <f t="shared" si="26"/>
        <v>0</v>
      </c>
      <c r="DM10" s="686">
        <f t="shared" si="27"/>
        <v>0</v>
      </c>
      <c r="DN10" s="635">
        <f t="shared" si="28"/>
        <v>0</v>
      </c>
      <c r="DO10" s="604">
        <f t="shared" si="29"/>
        <v>0</v>
      </c>
      <c r="DP10" s="604">
        <f t="shared" si="30"/>
        <v>0</v>
      </c>
      <c r="DQ10" s="686">
        <f t="shared" si="31"/>
        <v>0</v>
      </c>
      <c r="DR10" s="635">
        <f t="shared" si="2"/>
        <v>0</v>
      </c>
      <c r="DS10" s="604">
        <f t="shared" si="3"/>
        <v>0</v>
      </c>
      <c r="DT10" s="604">
        <f t="shared" si="32"/>
        <v>0</v>
      </c>
      <c r="DU10" s="686">
        <f t="shared" ref="DU10:DU20" si="40">IF(DT10=0,0,DT10/DR10)</f>
        <v>0</v>
      </c>
      <c r="DV10" s="635">
        <f t="shared" si="33"/>
        <v>0</v>
      </c>
      <c r="DW10" s="604">
        <f t="shared" si="34"/>
        <v>0</v>
      </c>
      <c r="DX10" s="604">
        <f t="shared" si="35"/>
        <v>0</v>
      </c>
      <c r="DY10" s="472">
        <f t="shared" si="36"/>
        <v>0</v>
      </c>
      <c r="EN10" s="319"/>
      <c r="EO10" s="320"/>
      <c r="EP10" s="320"/>
      <c r="EQ10" s="320"/>
      <c r="ER10" s="296"/>
    </row>
    <row r="11" spans="2:148" s="208" customFormat="1" x14ac:dyDescent="0.2">
      <c r="B11" s="1364" t="s">
        <v>100</v>
      </c>
      <c r="C11" s="659">
        <f>'3 Saalis'!V75</f>
        <v>0</v>
      </c>
      <c r="D11" s="680">
        <f>IF(C11=0,0,E11/C11)</f>
        <v>0</v>
      </c>
      <c r="E11" s="661">
        <f>'4 Myynti'!CL30</f>
        <v>0</v>
      </c>
      <c r="F11" s="662">
        <f>IF(E11=0,0,E11/$E$25)</f>
        <v>0</v>
      </c>
      <c r="G11" s="1589"/>
      <c r="H11" s="1590"/>
      <c r="I11" s="661">
        <f>G11*H11</f>
        <v>0</v>
      </c>
      <c r="J11" s="662">
        <f>IF(I11=0,0,I11/$I$25)</f>
        <v>0</v>
      </c>
      <c r="K11" s="659">
        <f>G11-C11</f>
        <v>0</v>
      </c>
      <c r="L11" s="660">
        <f>H11-D11</f>
        <v>0</v>
      </c>
      <c r="M11" s="1204">
        <f>I11-E11</f>
        <v>0</v>
      </c>
      <c r="N11" s="662">
        <f>IF(M11=0,0,M11/E11)</f>
        <v>0</v>
      </c>
      <c r="P11" s="1364" t="s">
        <v>100</v>
      </c>
      <c r="Q11" s="659">
        <f>'3 Saalis'!V97</f>
        <v>0</v>
      </c>
      <c r="R11" s="680">
        <f>IF(Q11=0,0,S11/Q11)</f>
        <v>0</v>
      </c>
      <c r="S11" s="661">
        <f>'4 Myynti'!CL53</f>
        <v>0</v>
      </c>
      <c r="T11" s="662">
        <f>IF(S11=0,0,S11/$S$25)</f>
        <v>0</v>
      </c>
      <c r="U11" s="1589"/>
      <c r="V11" s="1590"/>
      <c r="W11" s="661">
        <f>U11*V11</f>
        <v>0</v>
      </c>
      <c r="X11" s="662">
        <f>IF(W11=0,0,W11/$W$25)</f>
        <v>0</v>
      </c>
      <c r="Y11" s="659">
        <f>U11-Q11</f>
        <v>0</v>
      </c>
      <c r="Z11" s="660">
        <f>V11-R11</f>
        <v>0</v>
      </c>
      <c r="AA11" s="1204">
        <f>W11-S11</f>
        <v>0</v>
      </c>
      <c r="AB11" s="662">
        <f>IF(AA11=0,0,AA11/S11)</f>
        <v>0</v>
      </c>
      <c r="AD11" s="1364" t="s">
        <v>100</v>
      </c>
      <c r="AE11" s="659">
        <f>'3 Saalis'!V119</f>
        <v>0</v>
      </c>
      <c r="AF11" s="680">
        <f>IF(AE11=0,0,AG11/AE11)</f>
        <v>0</v>
      </c>
      <c r="AG11" s="661">
        <f>'4 Myynti'!CL76</f>
        <v>0</v>
      </c>
      <c r="AH11" s="662">
        <f>IF(AG11=0,0,AG11/$AG$25)</f>
        <v>0</v>
      </c>
      <c r="AI11" s="1589"/>
      <c r="AJ11" s="1590"/>
      <c r="AK11" s="661">
        <f>AI11*AJ11</f>
        <v>0</v>
      </c>
      <c r="AL11" s="662">
        <f t="shared" ref="AL11:AL25" si="41">IF(AK11=0,0,AK11/$AK$25)</f>
        <v>0</v>
      </c>
      <c r="AM11" s="659">
        <f>AI11-AE11</f>
        <v>0</v>
      </c>
      <c r="AN11" s="660">
        <f>AJ11-AF11</f>
        <v>0</v>
      </c>
      <c r="AO11" s="1204">
        <f>AK11-AG11</f>
        <v>0</v>
      </c>
      <c r="AP11" s="662">
        <f>IF(AO11=0,0,AO11/AG11)</f>
        <v>0</v>
      </c>
      <c r="AR11" s="1364" t="s">
        <v>100</v>
      </c>
      <c r="AS11" s="659">
        <f>'3 Saalis'!V141</f>
        <v>0</v>
      </c>
      <c r="AT11" s="680">
        <f>IF(AS11=0,0,AU11/AS11)</f>
        <v>0</v>
      </c>
      <c r="AU11" s="661">
        <f>'4 Myynti'!CL99</f>
        <v>0</v>
      </c>
      <c r="AV11" s="662">
        <f>IF(AU11=0,0,AU11/$AU$25)</f>
        <v>0</v>
      </c>
      <c r="AW11" s="1589"/>
      <c r="AX11" s="1590"/>
      <c r="AY11" s="661">
        <f>AW11*AX11</f>
        <v>0</v>
      </c>
      <c r="AZ11" s="662">
        <f>IF(AY11=0,0,AY11/$AY$25)</f>
        <v>0</v>
      </c>
      <c r="BA11" s="659">
        <f>AW11-AS11</f>
        <v>0</v>
      </c>
      <c r="BB11" s="660">
        <f>AX11-AT11</f>
        <v>0</v>
      </c>
      <c r="BC11" s="1204">
        <f>AY11-AU11</f>
        <v>0</v>
      </c>
      <c r="BD11" s="662">
        <f>IF(BC11=0,0,BC11/AU11)</f>
        <v>0</v>
      </c>
      <c r="BE11" s="314"/>
      <c r="BF11" s="1364" t="s">
        <v>100</v>
      </c>
      <c r="BG11" s="659">
        <f>'3 Saalis'!V163</f>
        <v>0</v>
      </c>
      <c r="BH11" s="680">
        <f>IF(BG11=0,0,BI11/BG11)</f>
        <v>0</v>
      </c>
      <c r="BI11" s="661">
        <f>'4 Myynti'!CL122</f>
        <v>0</v>
      </c>
      <c r="BJ11" s="662">
        <f t="shared" ref="BJ11:BJ24" si="42">IF(BI11=0,0,BI11/$BI$25)</f>
        <v>0</v>
      </c>
      <c r="BK11" s="1589"/>
      <c r="BL11" s="1590"/>
      <c r="BM11" s="661">
        <f>BK11*BL11</f>
        <v>0</v>
      </c>
      <c r="BN11" s="662">
        <f>IF(BM11=0,0,BM11/$BM$25)</f>
        <v>0</v>
      </c>
      <c r="BO11" s="659">
        <f>BK11-BG11</f>
        <v>0</v>
      </c>
      <c r="BP11" s="660">
        <f>BL11-BH11</f>
        <v>0</v>
      </c>
      <c r="BQ11" s="1204">
        <f>BM11-BI11</f>
        <v>0</v>
      </c>
      <c r="BR11" s="662">
        <f>IF(BQ11=0,0,BQ11/BI11)</f>
        <v>0</v>
      </c>
      <c r="BS11" s="297"/>
      <c r="BT11" s="1364" t="s">
        <v>100</v>
      </c>
      <c r="BU11" s="659">
        <f>'3 Saalis'!V185</f>
        <v>0</v>
      </c>
      <c r="BV11" s="680">
        <f>IF(BU11=0,0,BW11/BU11)</f>
        <v>0</v>
      </c>
      <c r="BW11" s="661">
        <f>'4 Myynti'!CL145</f>
        <v>0</v>
      </c>
      <c r="BX11" s="662">
        <f>IF(BW11=0,0,BW11/$BW$25)</f>
        <v>0</v>
      </c>
      <c r="BY11" s="1589"/>
      <c r="BZ11" s="1590"/>
      <c r="CA11" s="661">
        <f>BY11*BZ11</f>
        <v>0</v>
      </c>
      <c r="CB11" s="662">
        <f>IF(CA11=0,0,CA11/$CA$25)</f>
        <v>0</v>
      </c>
      <c r="CC11" s="659">
        <f>BY11-BU11</f>
        <v>0</v>
      </c>
      <c r="CD11" s="660">
        <f>BZ11-BV11</f>
        <v>0</v>
      </c>
      <c r="CE11" s="1204">
        <f>CA11-BW11</f>
        <v>0</v>
      </c>
      <c r="CF11" s="662">
        <f>IF(CE11=0,0,CE11/BW11)</f>
        <v>0</v>
      </c>
      <c r="CG11"/>
      <c r="CH11" s="1364" t="s">
        <v>100</v>
      </c>
      <c r="CI11" s="659">
        <f>C11+Q11+AE11+AS11+BG11+BU11</f>
        <v>0</v>
      </c>
      <c r="CJ11" s="680">
        <f>'4 Myynti'!AK7</f>
        <v>0</v>
      </c>
      <c r="CK11" s="661">
        <f>CI11*CJ11</f>
        <v>0</v>
      </c>
      <c r="CL11" s="662">
        <f>IF(CK11=0,0,CK11/$CK$25)</f>
        <v>0</v>
      </c>
      <c r="CM11" s="659">
        <f>G11+U11+AI11+AW11+BK11+BY11</f>
        <v>0</v>
      </c>
      <c r="CN11" s="680">
        <f>IF(CM11=0,0,CO11/CM11)</f>
        <v>0</v>
      </c>
      <c r="CO11" s="661">
        <f>I11+W11+AK11+AY11+BM11+CA11</f>
        <v>0</v>
      </c>
      <c r="CP11" s="662">
        <f>IF(CO11=0,0,CO11/$CO$25)</f>
        <v>0</v>
      </c>
      <c r="CQ11" s="659">
        <f>CM11-CI11</f>
        <v>0</v>
      </c>
      <c r="CR11" s="660">
        <f>CN11-CJ11</f>
        <v>0</v>
      </c>
      <c r="CS11" s="1204">
        <f>CO11-CK11</f>
        <v>0</v>
      </c>
      <c r="CT11" s="662">
        <f>IF(CS11=0,0,CS11/CK11)</f>
        <v>0</v>
      </c>
      <c r="CW11" s="209" t="s">
        <v>102</v>
      </c>
      <c r="CX11" s="635">
        <f t="shared" si="37"/>
        <v>0</v>
      </c>
      <c r="CY11" s="604">
        <f t="shared" si="38"/>
        <v>0</v>
      </c>
      <c r="CZ11" s="604">
        <f t="shared" ref="CZ11:CZ18" si="43">CY11-CX11</f>
        <v>0</v>
      </c>
      <c r="DA11" s="686">
        <f t="shared" si="39"/>
        <v>0</v>
      </c>
      <c r="DB11" s="635">
        <f t="shared" si="18"/>
        <v>0</v>
      </c>
      <c r="DC11" s="604">
        <f t="shared" si="0"/>
        <v>0</v>
      </c>
      <c r="DD11" s="604">
        <f t="shared" si="19"/>
        <v>0</v>
      </c>
      <c r="DE11" s="686">
        <f t="shared" si="20"/>
        <v>0</v>
      </c>
      <c r="DF11" s="635">
        <f t="shared" si="21"/>
        <v>0</v>
      </c>
      <c r="DG11" s="604">
        <f t="shared" si="22"/>
        <v>0</v>
      </c>
      <c r="DH11" s="604">
        <f t="shared" si="23"/>
        <v>0</v>
      </c>
      <c r="DI11" s="686">
        <f t="shared" si="24"/>
        <v>0</v>
      </c>
      <c r="DJ11" s="635">
        <f t="shared" si="25"/>
        <v>0</v>
      </c>
      <c r="DK11" s="604">
        <f t="shared" si="1"/>
        <v>0</v>
      </c>
      <c r="DL11" s="604">
        <f t="shared" si="26"/>
        <v>0</v>
      </c>
      <c r="DM11" s="686">
        <f t="shared" si="27"/>
        <v>0</v>
      </c>
      <c r="DN11" s="635">
        <f t="shared" si="28"/>
        <v>0</v>
      </c>
      <c r="DO11" s="604">
        <f t="shared" si="29"/>
        <v>0</v>
      </c>
      <c r="DP11" s="604">
        <f t="shared" si="30"/>
        <v>0</v>
      </c>
      <c r="DQ11" s="686">
        <f t="shared" si="31"/>
        <v>0</v>
      </c>
      <c r="DR11" s="635">
        <f t="shared" si="2"/>
        <v>0</v>
      </c>
      <c r="DS11" s="604">
        <f t="shared" si="3"/>
        <v>0</v>
      </c>
      <c r="DT11" s="604">
        <f t="shared" si="32"/>
        <v>0</v>
      </c>
      <c r="DU11" s="686">
        <f t="shared" si="40"/>
        <v>0</v>
      </c>
      <c r="DV11" s="635">
        <f t="shared" si="33"/>
        <v>0</v>
      </c>
      <c r="DW11" s="604">
        <f t="shared" si="34"/>
        <v>0</v>
      </c>
      <c r="DX11" s="604">
        <f t="shared" si="35"/>
        <v>0</v>
      </c>
      <c r="DY11" s="472">
        <f t="shared" si="36"/>
        <v>0</v>
      </c>
      <c r="EN11" s="321"/>
      <c r="EO11" s="322"/>
      <c r="EP11" s="323"/>
      <c r="EQ11" s="322"/>
      <c r="ER11" s="297"/>
    </row>
    <row r="12" spans="2:148" s="208" customFormat="1" x14ac:dyDescent="0.2">
      <c r="B12" s="1364" t="s">
        <v>108</v>
      </c>
      <c r="C12" s="663">
        <f>'3 Saalis'!V76</f>
        <v>0</v>
      </c>
      <c r="D12" s="680">
        <f t="shared" ref="D12:D23" si="44">IF(C12=0,0,E12/C12)</f>
        <v>0</v>
      </c>
      <c r="E12" s="661">
        <f>'4 Myynti'!CL31</f>
        <v>0</v>
      </c>
      <c r="F12" s="662">
        <f t="shared" ref="F12:F25" si="45">IF(E12=0,0,E12/$E$25)</f>
        <v>0</v>
      </c>
      <c r="G12" s="1591"/>
      <c r="H12" s="1590"/>
      <c r="I12" s="661">
        <f t="shared" ref="I12:I22" si="46">G12*H12</f>
        <v>0</v>
      </c>
      <c r="J12" s="662">
        <f t="shared" ref="J12:J25" si="47">IF(I12=0,0,I12/$I$25)</f>
        <v>0</v>
      </c>
      <c r="K12" s="659">
        <f t="shared" ref="K12:K22" si="48">G12-C12</f>
        <v>0</v>
      </c>
      <c r="L12" s="660">
        <f t="shared" ref="L12:L23" si="49">H12-D12</f>
        <v>0</v>
      </c>
      <c r="M12" s="1204">
        <f t="shared" ref="M12:M25" si="50">I12-E12</f>
        <v>0</v>
      </c>
      <c r="N12" s="662">
        <f t="shared" ref="N12:N25" si="51">IF(M12=0,0,M12/E12)</f>
        <v>0</v>
      </c>
      <c r="P12" s="1364" t="s">
        <v>108</v>
      </c>
      <c r="Q12" s="663">
        <f>'3 Saalis'!V98</f>
        <v>0</v>
      </c>
      <c r="R12" s="680">
        <f t="shared" ref="R12:R23" si="52">IF(Q12=0,0,S12/Q12)</f>
        <v>0</v>
      </c>
      <c r="S12" s="661">
        <f>'4 Myynti'!CL54</f>
        <v>0</v>
      </c>
      <c r="T12" s="662">
        <f t="shared" ref="T12:T25" si="53">IF(S12=0,0,S12/$S$25)</f>
        <v>0</v>
      </c>
      <c r="U12" s="1591"/>
      <c r="V12" s="1590"/>
      <c r="W12" s="661">
        <f t="shared" ref="W12:W22" si="54">U12*V12</f>
        <v>0</v>
      </c>
      <c r="X12" s="662">
        <f t="shared" ref="X12:X25" si="55">IF(W12=0,0,W12/$W$25)</f>
        <v>0</v>
      </c>
      <c r="Y12" s="659">
        <f t="shared" ref="Y12:Y23" si="56">U12-Q12</f>
        <v>0</v>
      </c>
      <c r="Z12" s="660">
        <f t="shared" ref="Z12:Z23" si="57">V12-R12</f>
        <v>0</v>
      </c>
      <c r="AA12" s="1204">
        <f t="shared" ref="AA12:AA25" si="58">W12-S12</f>
        <v>0</v>
      </c>
      <c r="AB12" s="662">
        <f t="shared" ref="AB12:AB25" si="59">IF(AA12=0,0,AA12/S12)</f>
        <v>0</v>
      </c>
      <c r="AD12" s="1364" t="s">
        <v>108</v>
      </c>
      <c r="AE12" s="663">
        <f>'3 Saalis'!V120</f>
        <v>0</v>
      </c>
      <c r="AF12" s="680">
        <f>IF(AE12=0,0,AG12/AE12)</f>
        <v>0</v>
      </c>
      <c r="AG12" s="661">
        <f>'4 Myynti'!CL77</f>
        <v>0</v>
      </c>
      <c r="AH12" s="662">
        <f t="shared" ref="AH12:AH25" si="60">IF(AG12=0,0,AG12/$AG$25)</f>
        <v>0</v>
      </c>
      <c r="AI12" s="1591"/>
      <c r="AJ12" s="1590"/>
      <c r="AK12" s="661">
        <f t="shared" ref="AK12:AK22" si="61">AI12*AJ12</f>
        <v>0</v>
      </c>
      <c r="AL12" s="662">
        <f t="shared" si="41"/>
        <v>0</v>
      </c>
      <c r="AM12" s="659">
        <f>AI12-AE12</f>
        <v>0</v>
      </c>
      <c r="AN12" s="660">
        <f t="shared" ref="AN12:AN23" si="62">AJ12-AF12</f>
        <v>0</v>
      </c>
      <c r="AO12" s="1204">
        <f t="shared" ref="AO12:AO22" si="63">AK12-AG12</f>
        <v>0</v>
      </c>
      <c r="AP12" s="662">
        <f t="shared" ref="AP12:AP25" si="64">IF(AO12=0,0,AO12/AG12)</f>
        <v>0</v>
      </c>
      <c r="AR12" s="1364" t="s">
        <v>108</v>
      </c>
      <c r="AS12" s="663">
        <f>'3 Saalis'!V142</f>
        <v>0</v>
      </c>
      <c r="AT12" s="680">
        <f t="shared" ref="AT12:AT23" si="65">IF(AS12=0,0,AU12/AS12)</f>
        <v>0</v>
      </c>
      <c r="AU12" s="661">
        <f>'4 Myynti'!CL100</f>
        <v>0</v>
      </c>
      <c r="AV12" s="662">
        <f t="shared" ref="AV12:AV25" si="66">IF(AU12=0,0,AU12/$AU$25)</f>
        <v>0</v>
      </c>
      <c r="AW12" s="1591"/>
      <c r="AX12" s="1590"/>
      <c r="AY12" s="661">
        <f t="shared" ref="AY12:AY22" si="67">AW12*AX12</f>
        <v>0</v>
      </c>
      <c r="AZ12" s="662">
        <f t="shared" ref="AZ12:AZ25" si="68">IF(AY12=0,0,AY12/$AY$25)</f>
        <v>0</v>
      </c>
      <c r="BA12" s="659">
        <f>AW12-AS12</f>
        <v>0</v>
      </c>
      <c r="BB12" s="660">
        <f t="shared" ref="BB12:BB23" si="69">AX12-AT12</f>
        <v>0</v>
      </c>
      <c r="BC12" s="1204">
        <f t="shared" ref="BC12:BC22" si="70">AY12-AU12</f>
        <v>0</v>
      </c>
      <c r="BD12" s="662">
        <f>IF(BC12=0,0,BC12/AU12)</f>
        <v>0</v>
      </c>
      <c r="BE12" s="314"/>
      <c r="BF12" s="1364" t="s">
        <v>108</v>
      </c>
      <c r="BG12" s="663">
        <f>'3 Saalis'!V164</f>
        <v>0</v>
      </c>
      <c r="BH12" s="680">
        <f t="shared" ref="BH12:BH23" si="71">IF(BG12=0,0,BI12/BG12)</f>
        <v>0</v>
      </c>
      <c r="BI12" s="661">
        <f>'4 Myynti'!CL123</f>
        <v>0</v>
      </c>
      <c r="BJ12" s="662">
        <f t="shared" si="42"/>
        <v>0</v>
      </c>
      <c r="BK12" s="1591"/>
      <c r="BL12" s="1590"/>
      <c r="BM12" s="661">
        <f t="shared" ref="BM12:BM22" si="72">BK12*BL12</f>
        <v>0</v>
      </c>
      <c r="BN12" s="662">
        <f t="shared" ref="BN12:BN25" si="73">IF(BM12=0,0,BM12/$BM$25)</f>
        <v>0</v>
      </c>
      <c r="BO12" s="659">
        <f t="shared" ref="BO12:BO23" si="74">BK12-BG12</f>
        <v>0</v>
      </c>
      <c r="BP12" s="660">
        <f t="shared" ref="BP12:BP23" si="75">BL12-BH12</f>
        <v>0</v>
      </c>
      <c r="BQ12" s="1204">
        <f t="shared" ref="BQ12:BQ25" si="76">BM12-BI12</f>
        <v>0</v>
      </c>
      <c r="BR12" s="662">
        <f>IF(BQ12=0,0,BQ12/BI12)</f>
        <v>0</v>
      </c>
      <c r="BS12" s="297"/>
      <c r="BT12" s="1364" t="s">
        <v>108</v>
      </c>
      <c r="BU12" s="663">
        <f>'3 Saalis'!V186</f>
        <v>0</v>
      </c>
      <c r="BV12" s="680">
        <f t="shared" ref="BV12:BV23" si="77">IF(BU12=0,0,BW12/BU12)</f>
        <v>0</v>
      </c>
      <c r="BW12" s="661">
        <f>'4 Myynti'!CL146</f>
        <v>0</v>
      </c>
      <c r="BX12" s="662">
        <f t="shared" ref="BX12:BX25" si="78">IF(BW12=0,0,BW12/$BW$25)</f>
        <v>0</v>
      </c>
      <c r="BY12" s="1591"/>
      <c r="BZ12" s="1590"/>
      <c r="CA12" s="661">
        <f t="shared" ref="CA12:CA22" si="79">BY12*BZ12</f>
        <v>0</v>
      </c>
      <c r="CB12" s="662">
        <f>IF(CA12=0,0,CA12/$CA$25)</f>
        <v>0</v>
      </c>
      <c r="CC12" s="659">
        <f t="shared" ref="CC12:CC22" si="80">BY12-BU12</f>
        <v>0</v>
      </c>
      <c r="CD12" s="660">
        <f t="shared" ref="CD12:CD22" si="81">BZ12-BV12</f>
        <v>0</v>
      </c>
      <c r="CE12" s="1204">
        <f t="shared" ref="CE12:CE18" si="82">CA12-BW12</f>
        <v>0</v>
      </c>
      <c r="CF12" s="662">
        <f t="shared" ref="CF12:CF25" si="83">IF(CE12=0,0,CE12/BW12)</f>
        <v>0</v>
      </c>
      <c r="CG12"/>
      <c r="CH12" s="1364" t="s">
        <v>108</v>
      </c>
      <c r="CI12" s="663">
        <f t="shared" ref="CI12:CI22" si="84">C12+Q12+AE12+AS12+BG12+BU12</f>
        <v>0</v>
      </c>
      <c r="CJ12" s="682">
        <f>'4 Myynti'!AK8</f>
        <v>0</v>
      </c>
      <c r="CK12" s="661">
        <f>CI12*CJ12</f>
        <v>0</v>
      </c>
      <c r="CL12" s="662">
        <f t="shared" ref="CL12:CL25" si="85">IF(CK12=0,0,CK12/$CK$25)</f>
        <v>0</v>
      </c>
      <c r="CM12" s="659">
        <f t="shared" ref="CM12:CM22" si="86">G12+U12+AI12+AW12+BK12+BY12</f>
        <v>0</v>
      </c>
      <c r="CN12" s="680">
        <f>IF(CM12=0,0,CO12/CM12)</f>
        <v>0</v>
      </c>
      <c r="CO12" s="661">
        <f t="shared" ref="CO12:CO22" si="87">I12+W12+AK12+AY12+BM12+CA12</f>
        <v>0</v>
      </c>
      <c r="CP12" s="662">
        <f t="shared" ref="CP12:CP25" si="88">IF(CO12=0,0,CO12/$CO$25)</f>
        <v>0</v>
      </c>
      <c r="CQ12" s="659">
        <f t="shared" ref="CQ12:CQ23" si="89">CM12-CI12</f>
        <v>0</v>
      </c>
      <c r="CR12" s="660">
        <f t="shared" ref="CR12:CR23" si="90">CN12-CJ12</f>
        <v>0</v>
      </c>
      <c r="CS12" s="1204">
        <f>CO12-CK12</f>
        <v>0</v>
      </c>
      <c r="CT12" s="662">
        <f t="shared" ref="CT12:CT25" si="91">IF(CS12=0,0,CS12/CK12)</f>
        <v>0</v>
      </c>
      <c r="CW12" s="209" t="s">
        <v>103</v>
      </c>
      <c r="CX12" s="635">
        <f t="shared" si="37"/>
        <v>0</v>
      </c>
      <c r="CY12" s="604">
        <f t="shared" si="38"/>
        <v>0</v>
      </c>
      <c r="CZ12" s="604">
        <f t="shared" si="43"/>
        <v>0</v>
      </c>
      <c r="DA12" s="686">
        <f t="shared" si="39"/>
        <v>0</v>
      </c>
      <c r="DB12" s="635">
        <f t="shared" si="18"/>
        <v>0</v>
      </c>
      <c r="DC12" s="604">
        <f t="shared" si="0"/>
        <v>0</v>
      </c>
      <c r="DD12" s="604">
        <f t="shared" si="19"/>
        <v>0</v>
      </c>
      <c r="DE12" s="686">
        <f t="shared" si="20"/>
        <v>0</v>
      </c>
      <c r="DF12" s="635">
        <f t="shared" si="21"/>
        <v>0</v>
      </c>
      <c r="DG12" s="604">
        <f t="shared" si="22"/>
        <v>0</v>
      </c>
      <c r="DH12" s="604">
        <f t="shared" si="23"/>
        <v>0</v>
      </c>
      <c r="DI12" s="686">
        <f t="shared" si="24"/>
        <v>0</v>
      </c>
      <c r="DJ12" s="635">
        <f t="shared" si="25"/>
        <v>0</v>
      </c>
      <c r="DK12" s="604">
        <f t="shared" si="1"/>
        <v>0</v>
      </c>
      <c r="DL12" s="604">
        <f t="shared" si="26"/>
        <v>0</v>
      </c>
      <c r="DM12" s="686">
        <f>IF(DL12=0,0,DL12/DJ12)</f>
        <v>0</v>
      </c>
      <c r="DN12" s="635">
        <f t="shared" si="28"/>
        <v>0</v>
      </c>
      <c r="DO12" s="604">
        <f t="shared" si="29"/>
        <v>0</v>
      </c>
      <c r="DP12" s="604">
        <f t="shared" si="30"/>
        <v>0</v>
      </c>
      <c r="DQ12" s="686">
        <f t="shared" si="31"/>
        <v>0</v>
      </c>
      <c r="DR12" s="635">
        <f t="shared" si="2"/>
        <v>0</v>
      </c>
      <c r="DS12" s="604">
        <f t="shared" si="3"/>
        <v>0</v>
      </c>
      <c r="DT12" s="604">
        <f t="shared" si="32"/>
        <v>0</v>
      </c>
      <c r="DU12" s="686">
        <f t="shared" si="40"/>
        <v>0</v>
      </c>
      <c r="DV12" s="635">
        <f t="shared" si="33"/>
        <v>0</v>
      </c>
      <c r="DW12" s="604">
        <f t="shared" si="34"/>
        <v>0</v>
      </c>
      <c r="DX12" s="604">
        <f t="shared" si="35"/>
        <v>0</v>
      </c>
      <c r="DY12" s="472">
        <f t="shared" si="36"/>
        <v>0</v>
      </c>
      <c r="EN12" s="321"/>
      <c r="EO12" s="322"/>
      <c r="EP12" s="323"/>
      <c r="EQ12" s="322"/>
      <c r="ER12" s="297"/>
    </row>
    <row r="13" spans="2:148" s="208" customFormat="1" x14ac:dyDescent="0.2">
      <c r="B13" s="1364" t="s">
        <v>101</v>
      </c>
      <c r="C13" s="663">
        <f>'3 Saalis'!V77</f>
        <v>0</v>
      </c>
      <c r="D13" s="680">
        <f t="shared" si="44"/>
        <v>0</v>
      </c>
      <c r="E13" s="661">
        <f>'4 Myynti'!CL32</f>
        <v>0</v>
      </c>
      <c r="F13" s="662">
        <f>IF(E13=0,0,E13/$E$25)</f>
        <v>0</v>
      </c>
      <c r="G13" s="1591"/>
      <c r="H13" s="1590"/>
      <c r="I13" s="661">
        <f t="shared" si="46"/>
        <v>0</v>
      </c>
      <c r="J13" s="662">
        <f t="shared" si="47"/>
        <v>0</v>
      </c>
      <c r="K13" s="659">
        <f t="shared" si="48"/>
        <v>0</v>
      </c>
      <c r="L13" s="660">
        <f t="shared" si="49"/>
        <v>0</v>
      </c>
      <c r="M13" s="1204">
        <f t="shared" si="50"/>
        <v>0</v>
      </c>
      <c r="N13" s="662">
        <f t="shared" si="51"/>
        <v>0</v>
      </c>
      <c r="P13" s="1364" t="s">
        <v>101</v>
      </c>
      <c r="Q13" s="663">
        <f>'3 Saalis'!V99</f>
        <v>0</v>
      </c>
      <c r="R13" s="680">
        <f t="shared" si="52"/>
        <v>0</v>
      </c>
      <c r="S13" s="661">
        <f>'4 Myynti'!CL55</f>
        <v>0</v>
      </c>
      <c r="T13" s="662">
        <f t="shared" si="53"/>
        <v>0</v>
      </c>
      <c r="U13" s="1591"/>
      <c r="V13" s="1590"/>
      <c r="W13" s="661">
        <f t="shared" si="54"/>
        <v>0</v>
      </c>
      <c r="X13" s="662">
        <f t="shared" si="55"/>
        <v>0</v>
      </c>
      <c r="Y13" s="659">
        <f t="shared" si="56"/>
        <v>0</v>
      </c>
      <c r="Z13" s="660">
        <f>V13-R13</f>
        <v>0</v>
      </c>
      <c r="AA13" s="1204">
        <f t="shared" si="58"/>
        <v>0</v>
      </c>
      <c r="AB13" s="662">
        <f t="shared" si="59"/>
        <v>0</v>
      </c>
      <c r="AD13" s="1364" t="s">
        <v>101</v>
      </c>
      <c r="AE13" s="663">
        <f>'3 Saalis'!V121</f>
        <v>0</v>
      </c>
      <c r="AF13" s="680">
        <f t="shared" ref="AF13:AF22" si="92">IF(AE13=0,0,AG13/AE13)</f>
        <v>0</v>
      </c>
      <c r="AG13" s="661">
        <f>'4 Myynti'!CL78</f>
        <v>0</v>
      </c>
      <c r="AH13" s="662">
        <f t="shared" si="60"/>
        <v>0</v>
      </c>
      <c r="AI13" s="1591"/>
      <c r="AJ13" s="1590"/>
      <c r="AK13" s="661">
        <f t="shared" si="61"/>
        <v>0</v>
      </c>
      <c r="AL13" s="662">
        <f t="shared" si="41"/>
        <v>0</v>
      </c>
      <c r="AM13" s="659">
        <f t="shared" ref="AM13:AM23" si="93">AI13-AE13</f>
        <v>0</v>
      </c>
      <c r="AN13" s="660">
        <f t="shared" si="62"/>
        <v>0</v>
      </c>
      <c r="AO13" s="1204">
        <f t="shared" si="63"/>
        <v>0</v>
      </c>
      <c r="AP13" s="662">
        <f t="shared" si="64"/>
        <v>0</v>
      </c>
      <c r="AR13" s="1364" t="s">
        <v>101</v>
      </c>
      <c r="AS13" s="663">
        <f>'3 Saalis'!V143</f>
        <v>0</v>
      </c>
      <c r="AT13" s="680">
        <f t="shared" si="65"/>
        <v>0</v>
      </c>
      <c r="AU13" s="661">
        <f>'4 Myynti'!CL101</f>
        <v>0</v>
      </c>
      <c r="AV13" s="662">
        <f t="shared" si="66"/>
        <v>0</v>
      </c>
      <c r="AW13" s="1591"/>
      <c r="AX13" s="1590"/>
      <c r="AY13" s="661">
        <f t="shared" si="67"/>
        <v>0</v>
      </c>
      <c r="AZ13" s="662">
        <f t="shared" si="68"/>
        <v>0</v>
      </c>
      <c r="BA13" s="659">
        <f t="shared" ref="BA13:BA23" si="94">AW13-AS13</f>
        <v>0</v>
      </c>
      <c r="BB13" s="660">
        <f t="shared" si="69"/>
        <v>0</v>
      </c>
      <c r="BC13" s="1204">
        <f t="shared" si="70"/>
        <v>0</v>
      </c>
      <c r="BD13" s="662">
        <f>IF(BC13=0,0,BC13/AU13)</f>
        <v>0</v>
      </c>
      <c r="BE13" s="314"/>
      <c r="BF13" s="1364" t="s">
        <v>101</v>
      </c>
      <c r="BG13" s="663">
        <f>'3 Saalis'!V165</f>
        <v>0</v>
      </c>
      <c r="BH13" s="680">
        <f t="shared" si="71"/>
        <v>0</v>
      </c>
      <c r="BI13" s="661">
        <f>'4 Myynti'!CL124</f>
        <v>0</v>
      </c>
      <c r="BJ13" s="662">
        <f t="shared" si="42"/>
        <v>0</v>
      </c>
      <c r="BK13" s="1591"/>
      <c r="BL13" s="1590"/>
      <c r="BM13" s="661">
        <f t="shared" si="72"/>
        <v>0</v>
      </c>
      <c r="BN13" s="662">
        <f t="shared" si="73"/>
        <v>0</v>
      </c>
      <c r="BO13" s="659">
        <f t="shared" si="74"/>
        <v>0</v>
      </c>
      <c r="BP13" s="660">
        <f t="shared" si="75"/>
        <v>0</v>
      </c>
      <c r="BQ13" s="1204">
        <f t="shared" si="76"/>
        <v>0</v>
      </c>
      <c r="BR13" s="662">
        <f>IF(BQ13=0,0,BQ13/BI13)</f>
        <v>0</v>
      </c>
      <c r="BS13" s="297"/>
      <c r="BT13" s="1364" t="s">
        <v>101</v>
      </c>
      <c r="BU13" s="663">
        <f>'3 Saalis'!V187</f>
        <v>0</v>
      </c>
      <c r="BV13" s="680">
        <f t="shared" si="77"/>
        <v>0</v>
      </c>
      <c r="BW13" s="661">
        <f>'4 Myynti'!CL147</f>
        <v>0</v>
      </c>
      <c r="BX13" s="662">
        <f t="shared" si="78"/>
        <v>0</v>
      </c>
      <c r="BY13" s="1591"/>
      <c r="BZ13" s="1590"/>
      <c r="CA13" s="661">
        <f t="shared" si="79"/>
        <v>0</v>
      </c>
      <c r="CB13" s="662">
        <f t="shared" ref="CB13:CB25" si="95">IF(CA13=0,0,CA13/$CA$25)</f>
        <v>0</v>
      </c>
      <c r="CC13" s="659">
        <f t="shared" si="80"/>
        <v>0</v>
      </c>
      <c r="CD13" s="660">
        <f t="shared" si="81"/>
        <v>0</v>
      </c>
      <c r="CE13" s="1204">
        <f t="shared" si="82"/>
        <v>0</v>
      </c>
      <c r="CF13" s="662">
        <f t="shared" si="83"/>
        <v>0</v>
      </c>
      <c r="CG13"/>
      <c r="CH13" s="1364" t="s">
        <v>101</v>
      </c>
      <c r="CI13" s="663">
        <f t="shared" si="84"/>
        <v>0</v>
      </c>
      <c r="CJ13" s="682">
        <f>'4 Myynti'!AK9</f>
        <v>0</v>
      </c>
      <c r="CK13" s="661">
        <f>CI13*CJ13</f>
        <v>0</v>
      </c>
      <c r="CL13" s="662">
        <f t="shared" si="85"/>
        <v>0</v>
      </c>
      <c r="CM13" s="659">
        <f t="shared" si="86"/>
        <v>0</v>
      </c>
      <c r="CN13" s="680">
        <f t="shared" ref="CN13:CN22" si="96">IF(CM13=0,0,CO13/CM13)</f>
        <v>0</v>
      </c>
      <c r="CO13" s="661">
        <f t="shared" si="87"/>
        <v>0</v>
      </c>
      <c r="CP13" s="662">
        <f t="shared" si="88"/>
        <v>0</v>
      </c>
      <c r="CQ13" s="659">
        <f t="shared" si="89"/>
        <v>0</v>
      </c>
      <c r="CR13" s="660">
        <f t="shared" si="90"/>
        <v>0</v>
      </c>
      <c r="CS13" s="1204">
        <f>CO13-CK13</f>
        <v>0</v>
      </c>
      <c r="CT13" s="662">
        <f t="shared" si="91"/>
        <v>0</v>
      </c>
      <c r="CW13" s="209" t="s">
        <v>104</v>
      </c>
      <c r="CX13" s="635">
        <f t="shared" si="37"/>
        <v>0</v>
      </c>
      <c r="CY13" s="604">
        <f t="shared" si="38"/>
        <v>0</v>
      </c>
      <c r="CZ13" s="604">
        <f t="shared" si="43"/>
        <v>0</v>
      </c>
      <c r="DA13" s="686">
        <f t="shared" si="39"/>
        <v>0</v>
      </c>
      <c r="DB13" s="635">
        <f t="shared" si="18"/>
        <v>0</v>
      </c>
      <c r="DC13" s="604">
        <f t="shared" si="0"/>
        <v>0</v>
      </c>
      <c r="DD13" s="604">
        <f t="shared" si="19"/>
        <v>0</v>
      </c>
      <c r="DE13" s="686">
        <f t="shared" si="20"/>
        <v>0</v>
      </c>
      <c r="DF13" s="635">
        <f t="shared" si="21"/>
        <v>0</v>
      </c>
      <c r="DG13" s="604">
        <f t="shared" si="22"/>
        <v>0</v>
      </c>
      <c r="DH13" s="604">
        <f t="shared" si="23"/>
        <v>0</v>
      </c>
      <c r="DI13" s="686">
        <f t="shared" si="24"/>
        <v>0</v>
      </c>
      <c r="DJ13" s="635">
        <f t="shared" si="25"/>
        <v>0</v>
      </c>
      <c r="DK13" s="604">
        <f t="shared" si="1"/>
        <v>0</v>
      </c>
      <c r="DL13" s="604">
        <f t="shared" si="26"/>
        <v>0</v>
      </c>
      <c r="DM13" s="686">
        <f t="shared" si="27"/>
        <v>0</v>
      </c>
      <c r="DN13" s="635">
        <f t="shared" si="28"/>
        <v>0</v>
      </c>
      <c r="DO13" s="604">
        <f t="shared" si="29"/>
        <v>0</v>
      </c>
      <c r="DP13" s="604">
        <f t="shared" si="30"/>
        <v>0</v>
      </c>
      <c r="DQ13" s="686">
        <f t="shared" si="31"/>
        <v>0</v>
      </c>
      <c r="DR13" s="635">
        <f t="shared" si="2"/>
        <v>0</v>
      </c>
      <c r="DS13" s="604">
        <f t="shared" si="3"/>
        <v>0</v>
      </c>
      <c r="DT13" s="604">
        <f t="shared" si="32"/>
        <v>0</v>
      </c>
      <c r="DU13" s="686">
        <f t="shared" si="40"/>
        <v>0</v>
      </c>
      <c r="DV13" s="635">
        <f t="shared" si="33"/>
        <v>0</v>
      </c>
      <c r="DW13" s="604">
        <f t="shared" si="34"/>
        <v>0</v>
      </c>
      <c r="DX13" s="604">
        <f t="shared" si="35"/>
        <v>0</v>
      </c>
      <c r="DY13" s="472">
        <f t="shared" si="36"/>
        <v>0</v>
      </c>
      <c r="EN13" s="321"/>
      <c r="EO13" s="322"/>
      <c r="EP13" s="323"/>
      <c r="EQ13" s="322"/>
      <c r="ER13" s="297"/>
    </row>
    <row r="14" spans="2:148" s="208" customFormat="1" x14ac:dyDescent="0.2">
      <c r="B14" s="1364" t="s">
        <v>102</v>
      </c>
      <c r="C14" s="663">
        <f>'3 Saalis'!V78</f>
        <v>0</v>
      </c>
      <c r="D14" s="680">
        <f>IF(C14=0,0,E14/C14)</f>
        <v>0</v>
      </c>
      <c r="E14" s="661">
        <f>'4 Myynti'!CL33</f>
        <v>0</v>
      </c>
      <c r="F14" s="662">
        <f t="shared" si="45"/>
        <v>0</v>
      </c>
      <c r="G14" s="1591"/>
      <c r="H14" s="1590"/>
      <c r="I14" s="661">
        <f t="shared" si="46"/>
        <v>0</v>
      </c>
      <c r="J14" s="662">
        <f t="shared" si="47"/>
        <v>0</v>
      </c>
      <c r="K14" s="659">
        <f>G14-C14</f>
        <v>0</v>
      </c>
      <c r="L14" s="660">
        <f t="shared" si="49"/>
        <v>0</v>
      </c>
      <c r="M14" s="1204">
        <f t="shared" si="50"/>
        <v>0</v>
      </c>
      <c r="N14" s="662">
        <f t="shared" si="51"/>
        <v>0</v>
      </c>
      <c r="P14" s="1364" t="s">
        <v>102</v>
      </c>
      <c r="Q14" s="663">
        <f>'3 Saalis'!V100</f>
        <v>0</v>
      </c>
      <c r="R14" s="680">
        <f t="shared" si="52"/>
        <v>0</v>
      </c>
      <c r="S14" s="661">
        <f>'4 Myynti'!CL56</f>
        <v>0</v>
      </c>
      <c r="T14" s="662">
        <f t="shared" si="53"/>
        <v>0</v>
      </c>
      <c r="U14" s="1591"/>
      <c r="V14" s="1590"/>
      <c r="W14" s="661">
        <f t="shared" si="54"/>
        <v>0</v>
      </c>
      <c r="X14" s="662">
        <f t="shared" si="55"/>
        <v>0</v>
      </c>
      <c r="Y14" s="659">
        <f t="shared" si="56"/>
        <v>0</v>
      </c>
      <c r="Z14" s="660">
        <f>V14-R14</f>
        <v>0</v>
      </c>
      <c r="AA14" s="1204">
        <f t="shared" si="58"/>
        <v>0</v>
      </c>
      <c r="AB14" s="662">
        <f t="shared" si="59"/>
        <v>0</v>
      </c>
      <c r="AD14" s="1364" t="s">
        <v>102</v>
      </c>
      <c r="AE14" s="663">
        <f>'3 Saalis'!V122</f>
        <v>0</v>
      </c>
      <c r="AF14" s="680">
        <f t="shared" si="92"/>
        <v>0</v>
      </c>
      <c r="AG14" s="661">
        <f>'4 Myynti'!CL79</f>
        <v>0</v>
      </c>
      <c r="AH14" s="662">
        <f t="shared" si="60"/>
        <v>0</v>
      </c>
      <c r="AI14" s="1591"/>
      <c r="AJ14" s="1590"/>
      <c r="AK14" s="661">
        <f t="shared" si="61"/>
        <v>0</v>
      </c>
      <c r="AL14" s="662">
        <f t="shared" si="41"/>
        <v>0</v>
      </c>
      <c r="AM14" s="659">
        <f t="shared" si="93"/>
        <v>0</v>
      </c>
      <c r="AN14" s="660">
        <f t="shared" si="62"/>
        <v>0</v>
      </c>
      <c r="AO14" s="1204">
        <f t="shared" si="63"/>
        <v>0</v>
      </c>
      <c r="AP14" s="662">
        <f t="shared" si="64"/>
        <v>0</v>
      </c>
      <c r="AR14" s="1364" t="s">
        <v>102</v>
      </c>
      <c r="AS14" s="663">
        <f>'3 Saalis'!V144</f>
        <v>0</v>
      </c>
      <c r="AT14" s="680">
        <f t="shared" si="65"/>
        <v>0</v>
      </c>
      <c r="AU14" s="661">
        <f>'4 Myynti'!CL102</f>
        <v>0</v>
      </c>
      <c r="AV14" s="662">
        <f t="shared" si="66"/>
        <v>0</v>
      </c>
      <c r="AW14" s="1591"/>
      <c r="AX14" s="1590"/>
      <c r="AY14" s="661">
        <f t="shared" si="67"/>
        <v>0</v>
      </c>
      <c r="AZ14" s="662">
        <f t="shared" si="68"/>
        <v>0</v>
      </c>
      <c r="BA14" s="659">
        <f t="shared" si="94"/>
        <v>0</v>
      </c>
      <c r="BB14" s="660">
        <f t="shared" si="69"/>
        <v>0</v>
      </c>
      <c r="BC14" s="1204">
        <f t="shared" si="70"/>
        <v>0</v>
      </c>
      <c r="BD14" s="662">
        <f>IF(BC14=0,0,BC14/AU14)</f>
        <v>0</v>
      </c>
      <c r="BE14" s="314"/>
      <c r="BF14" s="1364" t="s">
        <v>102</v>
      </c>
      <c r="BG14" s="663">
        <f>'3 Saalis'!V166</f>
        <v>0</v>
      </c>
      <c r="BH14" s="680">
        <f t="shared" si="71"/>
        <v>0</v>
      </c>
      <c r="BI14" s="661">
        <f>'4 Myynti'!CL125</f>
        <v>0</v>
      </c>
      <c r="BJ14" s="662">
        <f t="shared" si="42"/>
        <v>0</v>
      </c>
      <c r="BK14" s="1591"/>
      <c r="BL14" s="1590"/>
      <c r="BM14" s="661">
        <f t="shared" si="72"/>
        <v>0</v>
      </c>
      <c r="BN14" s="662">
        <f>IF(BM14=0,0,BM14/$BM$25)</f>
        <v>0</v>
      </c>
      <c r="BO14" s="659">
        <f t="shared" si="74"/>
        <v>0</v>
      </c>
      <c r="BP14" s="660">
        <f t="shared" si="75"/>
        <v>0</v>
      </c>
      <c r="BQ14" s="1204">
        <f t="shared" si="76"/>
        <v>0</v>
      </c>
      <c r="BR14" s="662">
        <f t="shared" ref="BR14:BR23" si="97">IF(BQ14=0,0,BQ14/BI14)</f>
        <v>0</v>
      </c>
      <c r="BS14" s="297"/>
      <c r="BT14" s="1364" t="s">
        <v>102</v>
      </c>
      <c r="BU14" s="663">
        <f>'3 Saalis'!V188</f>
        <v>0</v>
      </c>
      <c r="BV14" s="680">
        <f t="shared" si="77"/>
        <v>0</v>
      </c>
      <c r="BW14" s="661">
        <f>'4 Myynti'!CL148</f>
        <v>0</v>
      </c>
      <c r="BX14" s="662">
        <f t="shared" si="78"/>
        <v>0</v>
      </c>
      <c r="BY14" s="1591"/>
      <c r="BZ14" s="1590"/>
      <c r="CA14" s="661">
        <f t="shared" si="79"/>
        <v>0</v>
      </c>
      <c r="CB14" s="662">
        <f t="shared" si="95"/>
        <v>0</v>
      </c>
      <c r="CC14" s="659">
        <f t="shared" si="80"/>
        <v>0</v>
      </c>
      <c r="CD14" s="660">
        <f t="shared" si="81"/>
        <v>0</v>
      </c>
      <c r="CE14" s="1204">
        <f t="shared" si="82"/>
        <v>0</v>
      </c>
      <c r="CF14" s="662">
        <f t="shared" si="83"/>
        <v>0</v>
      </c>
      <c r="CG14"/>
      <c r="CH14" s="1364" t="s">
        <v>102</v>
      </c>
      <c r="CI14" s="663">
        <f t="shared" si="84"/>
        <v>0</v>
      </c>
      <c r="CJ14" s="682">
        <f>'4 Myynti'!AK10</f>
        <v>0</v>
      </c>
      <c r="CK14" s="661">
        <f t="shared" ref="CK14:CK21" si="98">CI14*CJ14</f>
        <v>0</v>
      </c>
      <c r="CL14" s="662">
        <f t="shared" si="85"/>
        <v>0</v>
      </c>
      <c r="CM14" s="659">
        <f t="shared" si="86"/>
        <v>0</v>
      </c>
      <c r="CN14" s="680">
        <f t="shared" si="96"/>
        <v>0</v>
      </c>
      <c r="CO14" s="661">
        <f>I14+W14+AK14+AY14+BM14+CA14</f>
        <v>0</v>
      </c>
      <c r="CP14" s="662">
        <f t="shared" si="88"/>
        <v>0</v>
      </c>
      <c r="CQ14" s="659">
        <f t="shared" si="89"/>
        <v>0</v>
      </c>
      <c r="CR14" s="660">
        <f t="shared" si="90"/>
        <v>0</v>
      </c>
      <c r="CS14" s="1204">
        <f t="shared" ref="CS14:CS22" si="99">CO14-CK14</f>
        <v>0</v>
      </c>
      <c r="CT14" s="662">
        <f t="shared" si="91"/>
        <v>0</v>
      </c>
      <c r="CW14" s="209" t="s">
        <v>105</v>
      </c>
      <c r="CX14" s="635">
        <f t="shared" si="37"/>
        <v>0</v>
      </c>
      <c r="CY14" s="604">
        <f t="shared" si="38"/>
        <v>0</v>
      </c>
      <c r="CZ14" s="604">
        <f t="shared" si="43"/>
        <v>0</v>
      </c>
      <c r="DA14" s="686">
        <f t="shared" si="39"/>
        <v>0</v>
      </c>
      <c r="DB14" s="635">
        <f t="shared" si="18"/>
        <v>0</v>
      </c>
      <c r="DC14" s="604">
        <f t="shared" si="0"/>
        <v>0</v>
      </c>
      <c r="DD14" s="604">
        <f t="shared" si="19"/>
        <v>0</v>
      </c>
      <c r="DE14" s="686">
        <f t="shared" si="20"/>
        <v>0</v>
      </c>
      <c r="DF14" s="635">
        <f t="shared" si="21"/>
        <v>0</v>
      </c>
      <c r="DG14" s="604">
        <f t="shared" si="22"/>
        <v>0</v>
      </c>
      <c r="DH14" s="604">
        <f t="shared" si="23"/>
        <v>0</v>
      </c>
      <c r="DI14" s="686">
        <f t="shared" si="24"/>
        <v>0</v>
      </c>
      <c r="DJ14" s="635">
        <f t="shared" si="25"/>
        <v>0</v>
      </c>
      <c r="DK14" s="604">
        <f t="shared" si="1"/>
        <v>0</v>
      </c>
      <c r="DL14" s="604">
        <f t="shared" si="26"/>
        <v>0</v>
      </c>
      <c r="DM14" s="686">
        <f t="shared" si="27"/>
        <v>0</v>
      </c>
      <c r="DN14" s="635">
        <f t="shared" si="28"/>
        <v>0</v>
      </c>
      <c r="DO14" s="604">
        <f t="shared" si="29"/>
        <v>0</v>
      </c>
      <c r="DP14" s="604">
        <f t="shared" si="30"/>
        <v>0</v>
      </c>
      <c r="DQ14" s="686">
        <f t="shared" si="31"/>
        <v>0</v>
      </c>
      <c r="DR14" s="635">
        <f t="shared" si="2"/>
        <v>0</v>
      </c>
      <c r="DS14" s="604">
        <f t="shared" si="3"/>
        <v>0</v>
      </c>
      <c r="DT14" s="604">
        <f t="shared" si="32"/>
        <v>0</v>
      </c>
      <c r="DU14" s="686">
        <f t="shared" si="40"/>
        <v>0</v>
      </c>
      <c r="DV14" s="635">
        <f t="shared" si="33"/>
        <v>0</v>
      </c>
      <c r="DW14" s="604">
        <f t="shared" si="34"/>
        <v>0</v>
      </c>
      <c r="DX14" s="604">
        <f t="shared" si="35"/>
        <v>0</v>
      </c>
      <c r="DY14" s="472">
        <f t="shared" si="36"/>
        <v>0</v>
      </c>
      <c r="EN14" s="321"/>
      <c r="EO14" s="322"/>
      <c r="EP14" s="323"/>
      <c r="EQ14" s="322"/>
      <c r="ER14" s="297"/>
    </row>
    <row r="15" spans="2:148" s="208" customFormat="1" x14ac:dyDescent="0.2">
      <c r="B15" s="1364" t="s">
        <v>103</v>
      </c>
      <c r="C15" s="663">
        <f>'3 Saalis'!V79</f>
        <v>0</v>
      </c>
      <c r="D15" s="680">
        <f>IF(C15=0,0,E15/C15)</f>
        <v>0</v>
      </c>
      <c r="E15" s="661">
        <f>'4 Myynti'!CL34</f>
        <v>0</v>
      </c>
      <c r="F15" s="662">
        <f t="shared" si="45"/>
        <v>0</v>
      </c>
      <c r="G15" s="1591"/>
      <c r="H15" s="1590"/>
      <c r="I15" s="661">
        <f t="shared" si="46"/>
        <v>0</v>
      </c>
      <c r="J15" s="662">
        <f t="shared" si="47"/>
        <v>0</v>
      </c>
      <c r="K15" s="659">
        <f t="shared" si="48"/>
        <v>0</v>
      </c>
      <c r="L15" s="660">
        <f t="shared" si="49"/>
        <v>0</v>
      </c>
      <c r="M15" s="1204">
        <f t="shared" si="50"/>
        <v>0</v>
      </c>
      <c r="N15" s="662">
        <f t="shared" si="51"/>
        <v>0</v>
      </c>
      <c r="P15" s="1364" t="s">
        <v>103</v>
      </c>
      <c r="Q15" s="663">
        <f>'3 Saalis'!V101</f>
        <v>0</v>
      </c>
      <c r="R15" s="680">
        <f t="shared" si="52"/>
        <v>0</v>
      </c>
      <c r="S15" s="661">
        <f>'4 Myynti'!CL57</f>
        <v>0</v>
      </c>
      <c r="T15" s="662">
        <f t="shared" si="53"/>
        <v>0</v>
      </c>
      <c r="U15" s="1591"/>
      <c r="V15" s="1590"/>
      <c r="W15" s="661">
        <f t="shared" si="54"/>
        <v>0</v>
      </c>
      <c r="X15" s="662">
        <f t="shared" si="55"/>
        <v>0</v>
      </c>
      <c r="Y15" s="659">
        <f t="shared" si="56"/>
        <v>0</v>
      </c>
      <c r="Z15" s="660">
        <f t="shared" si="57"/>
        <v>0</v>
      </c>
      <c r="AA15" s="1204">
        <f t="shared" si="58"/>
        <v>0</v>
      </c>
      <c r="AB15" s="662">
        <f t="shared" si="59"/>
        <v>0</v>
      </c>
      <c r="AD15" s="1364" t="s">
        <v>103</v>
      </c>
      <c r="AE15" s="663">
        <f>'3 Saalis'!V123</f>
        <v>0</v>
      </c>
      <c r="AF15" s="680">
        <f t="shared" si="92"/>
        <v>0</v>
      </c>
      <c r="AG15" s="661">
        <f>'4 Myynti'!CL80</f>
        <v>0</v>
      </c>
      <c r="AH15" s="662">
        <f t="shared" si="60"/>
        <v>0</v>
      </c>
      <c r="AI15" s="1591"/>
      <c r="AJ15" s="1590"/>
      <c r="AK15" s="661">
        <f t="shared" si="61"/>
        <v>0</v>
      </c>
      <c r="AL15" s="662">
        <f t="shared" si="41"/>
        <v>0</v>
      </c>
      <c r="AM15" s="659">
        <f t="shared" si="93"/>
        <v>0</v>
      </c>
      <c r="AN15" s="660">
        <f t="shared" si="62"/>
        <v>0</v>
      </c>
      <c r="AO15" s="1204">
        <f t="shared" si="63"/>
        <v>0</v>
      </c>
      <c r="AP15" s="662">
        <f t="shared" si="64"/>
        <v>0</v>
      </c>
      <c r="AR15" s="1364" t="s">
        <v>103</v>
      </c>
      <c r="AS15" s="663">
        <f>'3 Saalis'!V145</f>
        <v>0</v>
      </c>
      <c r="AT15" s="680">
        <f t="shared" si="65"/>
        <v>0</v>
      </c>
      <c r="AU15" s="661">
        <f>'4 Myynti'!CL103</f>
        <v>0</v>
      </c>
      <c r="AV15" s="662">
        <f t="shared" si="66"/>
        <v>0</v>
      </c>
      <c r="AW15" s="1591"/>
      <c r="AX15" s="1590"/>
      <c r="AY15" s="661">
        <f t="shared" si="67"/>
        <v>0</v>
      </c>
      <c r="AZ15" s="662">
        <f t="shared" si="68"/>
        <v>0</v>
      </c>
      <c r="BA15" s="659">
        <f t="shared" si="94"/>
        <v>0</v>
      </c>
      <c r="BB15" s="660">
        <f t="shared" si="69"/>
        <v>0</v>
      </c>
      <c r="BC15" s="1204">
        <f t="shared" si="70"/>
        <v>0</v>
      </c>
      <c r="BD15" s="662">
        <f t="shared" ref="BD15:BD22" si="100">IF(BC15=0,0,BC15/AU15)</f>
        <v>0</v>
      </c>
      <c r="BE15" s="314"/>
      <c r="BF15" s="1364" t="s">
        <v>103</v>
      </c>
      <c r="BG15" s="663">
        <f>'3 Saalis'!V167</f>
        <v>0</v>
      </c>
      <c r="BH15" s="680">
        <f t="shared" si="71"/>
        <v>0</v>
      </c>
      <c r="BI15" s="661">
        <f>'4 Myynti'!CL126</f>
        <v>0</v>
      </c>
      <c r="BJ15" s="662">
        <f t="shared" si="42"/>
        <v>0</v>
      </c>
      <c r="BK15" s="1591"/>
      <c r="BL15" s="1590"/>
      <c r="BM15" s="661">
        <f t="shared" si="72"/>
        <v>0</v>
      </c>
      <c r="BN15" s="662">
        <f t="shared" si="73"/>
        <v>0</v>
      </c>
      <c r="BO15" s="659">
        <f t="shared" si="74"/>
        <v>0</v>
      </c>
      <c r="BP15" s="660">
        <f t="shared" si="75"/>
        <v>0</v>
      </c>
      <c r="BQ15" s="1204">
        <f t="shared" si="76"/>
        <v>0</v>
      </c>
      <c r="BR15" s="662">
        <f>IF(BQ15=0,0,BQ15/BI15)</f>
        <v>0</v>
      </c>
      <c r="BS15" s="297"/>
      <c r="BT15" s="1364" t="s">
        <v>103</v>
      </c>
      <c r="BU15" s="663">
        <f>'3 Saalis'!V189</f>
        <v>0</v>
      </c>
      <c r="BV15" s="680">
        <f t="shared" si="77"/>
        <v>0</v>
      </c>
      <c r="BW15" s="661">
        <f>'4 Myynti'!CL149</f>
        <v>0</v>
      </c>
      <c r="BX15" s="662">
        <f t="shared" si="78"/>
        <v>0</v>
      </c>
      <c r="BY15" s="1591"/>
      <c r="BZ15" s="1590"/>
      <c r="CA15" s="661">
        <f t="shared" si="79"/>
        <v>0</v>
      </c>
      <c r="CB15" s="662">
        <f t="shared" si="95"/>
        <v>0</v>
      </c>
      <c r="CC15" s="659">
        <f t="shared" si="80"/>
        <v>0</v>
      </c>
      <c r="CD15" s="660">
        <f t="shared" si="81"/>
        <v>0</v>
      </c>
      <c r="CE15" s="1204">
        <f t="shared" si="82"/>
        <v>0</v>
      </c>
      <c r="CF15" s="662">
        <f>IF(CE15=0,0,CE15/BW15)</f>
        <v>0</v>
      </c>
      <c r="CG15"/>
      <c r="CH15" s="1364" t="s">
        <v>103</v>
      </c>
      <c r="CI15" s="663">
        <f t="shared" si="84"/>
        <v>0</v>
      </c>
      <c r="CJ15" s="682">
        <f>'4 Myynti'!AK11</f>
        <v>0</v>
      </c>
      <c r="CK15" s="661">
        <f t="shared" si="98"/>
        <v>0</v>
      </c>
      <c r="CL15" s="662">
        <f t="shared" si="85"/>
        <v>0</v>
      </c>
      <c r="CM15" s="659">
        <f t="shared" si="86"/>
        <v>0</v>
      </c>
      <c r="CN15" s="680">
        <f>IF(CM15=0,0,CO15/CM15)</f>
        <v>0</v>
      </c>
      <c r="CO15" s="661">
        <f t="shared" si="87"/>
        <v>0</v>
      </c>
      <c r="CP15" s="662">
        <f t="shared" si="88"/>
        <v>0</v>
      </c>
      <c r="CQ15" s="659">
        <f>CM15-CI15</f>
        <v>0</v>
      </c>
      <c r="CR15" s="660">
        <f t="shared" si="90"/>
        <v>0</v>
      </c>
      <c r="CS15" s="1204">
        <f>CO15-CK15</f>
        <v>0</v>
      </c>
      <c r="CT15" s="662">
        <f t="shared" si="91"/>
        <v>0</v>
      </c>
      <c r="CW15" s="209" t="s">
        <v>106</v>
      </c>
      <c r="CX15" s="635">
        <f t="shared" si="37"/>
        <v>0</v>
      </c>
      <c r="CY15" s="604">
        <f t="shared" si="38"/>
        <v>0</v>
      </c>
      <c r="CZ15" s="604">
        <f>CY15-CX15</f>
        <v>0</v>
      </c>
      <c r="DA15" s="686">
        <f>IF(CZ15=0,0,CZ15/CX15)</f>
        <v>0</v>
      </c>
      <c r="DB15" s="635">
        <f t="shared" si="18"/>
        <v>0</v>
      </c>
      <c r="DC15" s="604">
        <f t="shared" si="0"/>
        <v>0</v>
      </c>
      <c r="DD15" s="604">
        <f t="shared" si="19"/>
        <v>0</v>
      </c>
      <c r="DE15" s="686">
        <f t="shared" si="20"/>
        <v>0</v>
      </c>
      <c r="DF15" s="635">
        <f t="shared" si="21"/>
        <v>0</v>
      </c>
      <c r="DG15" s="604">
        <f t="shared" si="22"/>
        <v>0</v>
      </c>
      <c r="DH15" s="604">
        <f t="shared" si="23"/>
        <v>0</v>
      </c>
      <c r="DI15" s="686">
        <f t="shared" si="24"/>
        <v>0</v>
      </c>
      <c r="DJ15" s="635">
        <f t="shared" si="25"/>
        <v>0</v>
      </c>
      <c r="DK15" s="604">
        <f t="shared" si="1"/>
        <v>0</v>
      </c>
      <c r="DL15" s="604">
        <f t="shared" si="26"/>
        <v>0</v>
      </c>
      <c r="DM15" s="686">
        <f t="shared" si="27"/>
        <v>0</v>
      </c>
      <c r="DN15" s="635">
        <f t="shared" si="28"/>
        <v>0</v>
      </c>
      <c r="DO15" s="604">
        <f t="shared" si="29"/>
        <v>0</v>
      </c>
      <c r="DP15" s="604">
        <f t="shared" si="30"/>
        <v>0</v>
      </c>
      <c r="DQ15" s="686">
        <f t="shared" si="31"/>
        <v>0</v>
      </c>
      <c r="DR15" s="635">
        <f t="shared" si="2"/>
        <v>0</v>
      </c>
      <c r="DS15" s="604">
        <f t="shared" si="3"/>
        <v>0</v>
      </c>
      <c r="DT15" s="604">
        <f t="shared" si="32"/>
        <v>0</v>
      </c>
      <c r="DU15" s="686">
        <f t="shared" si="40"/>
        <v>0</v>
      </c>
      <c r="DV15" s="635">
        <f t="shared" si="33"/>
        <v>0</v>
      </c>
      <c r="DW15" s="604">
        <f t="shared" si="34"/>
        <v>0</v>
      </c>
      <c r="DX15" s="604">
        <f t="shared" si="35"/>
        <v>0</v>
      </c>
      <c r="DY15" s="472">
        <f t="shared" si="36"/>
        <v>0</v>
      </c>
      <c r="EN15" s="321"/>
      <c r="EO15" s="322"/>
      <c r="EP15" s="323"/>
      <c r="EQ15" s="322"/>
      <c r="ER15" s="297"/>
    </row>
    <row r="16" spans="2:148" s="208" customFormat="1" x14ac:dyDescent="0.2">
      <c r="B16" s="1364" t="s">
        <v>104</v>
      </c>
      <c r="C16" s="663">
        <f>'3 Saalis'!V80</f>
        <v>0</v>
      </c>
      <c r="D16" s="680">
        <f>IF(C16=0,0,E16/C16)</f>
        <v>0</v>
      </c>
      <c r="E16" s="661">
        <f>'4 Myynti'!CL35</f>
        <v>0</v>
      </c>
      <c r="F16" s="662">
        <f t="shared" si="45"/>
        <v>0</v>
      </c>
      <c r="G16" s="1591"/>
      <c r="H16" s="1590"/>
      <c r="I16" s="661">
        <f t="shared" si="46"/>
        <v>0</v>
      </c>
      <c r="J16" s="662">
        <f t="shared" si="47"/>
        <v>0</v>
      </c>
      <c r="K16" s="659">
        <f t="shared" si="48"/>
        <v>0</v>
      </c>
      <c r="L16" s="660">
        <f t="shared" si="49"/>
        <v>0</v>
      </c>
      <c r="M16" s="1204">
        <f t="shared" si="50"/>
        <v>0</v>
      </c>
      <c r="N16" s="662">
        <f t="shared" si="51"/>
        <v>0</v>
      </c>
      <c r="P16" s="1364" t="s">
        <v>104</v>
      </c>
      <c r="Q16" s="663">
        <f>'3 Saalis'!V102</f>
        <v>0</v>
      </c>
      <c r="R16" s="680">
        <f t="shared" si="52"/>
        <v>0</v>
      </c>
      <c r="S16" s="661">
        <f>'4 Myynti'!CL58</f>
        <v>0</v>
      </c>
      <c r="T16" s="662">
        <f t="shared" si="53"/>
        <v>0</v>
      </c>
      <c r="U16" s="1591"/>
      <c r="V16" s="1590"/>
      <c r="W16" s="661">
        <f t="shared" si="54"/>
        <v>0</v>
      </c>
      <c r="X16" s="662">
        <f t="shared" si="55"/>
        <v>0</v>
      </c>
      <c r="Y16" s="659">
        <f t="shared" si="56"/>
        <v>0</v>
      </c>
      <c r="Z16" s="660">
        <f t="shared" si="57"/>
        <v>0</v>
      </c>
      <c r="AA16" s="1204">
        <f t="shared" si="58"/>
        <v>0</v>
      </c>
      <c r="AB16" s="662">
        <f t="shared" si="59"/>
        <v>0</v>
      </c>
      <c r="AD16" s="1364" t="s">
        <v>104</v>
      </c>
      <c r="AE16" s="663">
        <f>'3 Saalis'!V124</f>
        <v>0</v>
      </c>
      <c r="AF16" s="680">
        <f t="shared" si="92"/>
        <v>0</v>
      </c>
      <c r="AG16" s="661">
        <f>'4 Myynti'!CL81</f>
        <v>0</v>
      </c>
      <c r="AH16" s="662">
        <f t="shared" si="60"/>
        <v>0</v>
      </c>
      <c r="AI16" s="1591"/>
      <c r="AJ16" s="1590"/>
      <c r="AK16" s="661">
        <f t="shared" si="61"/>
        <v>0</v>
      </c>
      <c r="AL16" s="662">
        <f t="shared" si="41"/>
        <v>0</v>
      </c>
      <c r="AM16" s="659">
        <f t="shared" si="93"/>
        <v>0</v>
      </c>
      <c r="AN16" s="660">
        <f t="shared" si="62"/>
        <v>0</v>
      </c>
      <c r="AO16" s="1204">
        <f t="shared" si="63"/>
        <v>0</v>
      </c>
      <c r="AP16" s="662">
        <f t="shared" si="64"/>
        <v>0</v>
      </c>
      <c r="AR16" s="1364" t="s">
        <v>104</v>
      </c>
      <c r="AS16" s="663">
        <f>'3 Saalis'!V146</f>
        <v>0</v>
      </c>
      <c r="AT16" s="680">
        <f t="shared" si="65"/>
        <v>0</v>
      </c>
      <c r="AU16" s="661">
        <f>'4 Myynti'!CL104</f>
        <v>0</v>
      </c>
      <c r="AV16" s="662">
        <f t="shared" si="66"/>
        <v>0</v>
      </c>
      <c r="AW16" s="1591"/>
      <c r="AX16" s="1590"/>
      <c r="AY16" s="661">
        <f t="shared" si="67"/>
        <v>0</v>
      </c>
      <c r="AZ16" s="662">
        <f t="shared" si="68"/>
        <v>0</v>
      </c>
      <c r="BA16" s="659">
        <f t="shared" si="94"/>
        <v>0</v>
      </c>
      <c r="BB16" s="660">
        <f t="shared" si="69"/>
        <v>0</v>
      </c>
      <c r="BC16" s="1204">
        <f t="shared" si="70"/>
        <v>0</v>
      </c>
      <c r="BD16" s="662">
        <f>IF(BC16=0,0,BC16/AU16)</f>
        <v>0</v>
      </c>
      <c r="BE16" s="314"/>
      <c r="BF16" s="1364" t="s">
        <v>104</v>
      </c>
      <c r="BG16" s="663">
        <f>'3 Saalis'!V168</f>
        <v>0</v>
      </c>
      <c r="BH16" s="680">
        <f t="shared" si="71"/>
        <v>0</v>
      </c>
      <c r="BI16" s="661">
        <f>'4 Myynti'!CL127</f>
        <v>0</v>
      </c>
      <c r="BJ16" s="662">
        <f t="shared" si="42"/>
        <v>0</v>
      </c>
      <c r="BK16" s="1591"/>
      <c r="BL16" s="1590"/>
      <c r="BM16" s="661">
        <f t="shared" si="72"/>
        <v>0</v>
      </c>
      <c r="BN16" s="662">
        <f t="shared" si="73"/>
        <v>0</v>
      </c>
      <c r="BO16" s="659">
        <f t="shared" si="74"/>
        <v>0</v>
      </c>
      <c r="BP16" s="660">
        <f t="shared" si="75"/>
        <v>0</v>
      </c>
      <c r="BQ16" s="1204">
        <f t="shared" si="76"/>
        <v>0</v>
      </c>
      <c r="BR16" s="662">
        <f t="shared" si="97"/>
        <v>0</v>
      </c>
      <c r="BS16" s="297"/>
      <c r="BT16" s="1364" t="s">
        <v>104</v>
      </c>
      <c r="BU16" s="663">
        <f>'3 Saalis'!V190</f>
        <v>0</v>
      </c>
      <c r="BV16" s="680">
        <f t="shared" si="77"/>
        <v>0</v>
      </c>
      <c r="BW16" s="661">
        <f>'4 Myynti'!CL150</f>
        <v>0</v>
      </c>
      <c r="BX16" s="662">
        <f t="shared" si="78"/>
        <v>0</v>
      </c>
      <c r="BY16" s="1591"/>
      <c r="BZ16" s="1590"/>
      <c r="CA16" s="661">
        <f t="shared" si="79"/>
        <v>0</v>
      </c>
      <c r="CB16" s="662">
        <f t="shared" si="95"/>
        <v>0</v>
      </c>
      <c r="CC16" s="659">
        <f t="shared" si="80"/>
        <v>0</v>
      </c>
      <c r="CD16" s="660">
        <f t="shared" si="81"/>
        <v>0</v>
      </c>
      <c r="CE16" s="1204">
        <f t="shared" si="82"/>
        <v>0</v>
      </c>
      <c r="CF16" s="662">
        <f t="shared" si="83"/>
        <v>0</v>
      </c>
      <c r="CG16"/>
      <c r="CH16" s="1364" t="s">
        <v>104</v>
      </c>
      <c r="CI16" s="663">
        <f t="shared" si="84"/>
        <v>0</v>
      </c>
      <c r="CJ16" s="682">
        <f>'4 Myynti'!AK12</f>
        <v>0</v>
      </c>
      <c r="CK16" s="661">
        <f t="shared" si="98"/>
        <v>0</v>
      </c>
      <c r="CL16" s="662">
        <f t="shared" si="85"/>
        <v>0</v>
      </c>
      <c r="CM16" s="659">
        <f t="shared" si="86"/>
        <v>0</v>
      </c>
      <c r="CN16" s="680">
        <f t="shared" si="96"/>
        <v>0</v>
      </c>
      <c r="CO16" s="661">
        <f>I16+W16+AK16+AY16+BM16+CA16</f>
        <v>0</v>
      </c>
      <c r="CP16" s="662">
        <f t="shared" si="88"/>
        <v>0</v>
      </c>
      <c r="CQ16" s="659">
        <f t="shared" si="89"/>
        <v>0</v>
      </c>
      <c r="CR16" s="660">
        <f t="shared" si="90"/>
        <v>0</v>
      </c>
      <c r="CS16" s="1204">
        <f t="shared" si="99"/>
        <v>0</v>
      </c>
      <c r="CT16" s="662">
        <f t="shared" si="91"/>
        <v>0</v>
      </c>
      <c r="CW16" s="209" t="s">
        <v>37</v>
      </c>
      <c r="CX16" s="635">
        <f t="shared" si="37"/>
        <v>0</v>
      </c>
      <c r="CY16" s="604">
        <f>CO19</f>
        <v>0</v>
      </c>
      <c r="CZ16" s="604">
        <f t="shared" si="43"/>
        <v>0</v>
      </c>
      <c r="DA16" s="686">
        <f t="shared" si="39"/>
        <v>0</v>
      </c>
      <c r="DB16" s="635">
        <f t="shared" si="18"/>
        <v>0</v>
      </c>
      <c r="DC16" s="604">
        <f t="shared" si="0"/>
        <v>0</v>
      </c>
      <c r="DD16" s="604">
        <f t="shared" si="19"/>
        <v>0</v>
      </c>
      <c r="DE16" s="686">
        <f t="shared" si="20"/>
        <v>0</v>
      </c>
      <c r="DF16" s="635">
        <f t="shared" si="21"/>
        <v>0</v>
      </c>
      <c r="DG16" s="604">
        <f t="shared" si="22"/>
        <v>0</v>
      </c>
      <c r="DH16" s="604">
        <f t="shared" si="23"/>
        <v>0</v>
      </c>
      <c r="DI16" s="686">
        <f t="shared" si="24"/>
        <v>0</v>
      </c>
      <c r="DJ16" s="635">
        <f t="shared" si="25"/>
        <v>0</v>
      </c>
      <c r="DK16" s="604">
        <f t="shared" si="1"/>
        <v>0</v>
      </c>
      <c r="DL16" s="604">
        <f t="shared" si="26"/>
        <v>0</v>
      </c>
      <c r="DM16" s="686">
        <f t="shared" si="27"/>
        <v>0</v>
      </c>
      <c r="DN16" s="635">
        <f t="shared" si="28"/>
        <v>0</v>
      </c>
      <c r="DO16" s="604">
        <f t="shared" si="29"/>
        <v>0</v>
      </c>
      <c r="DP16" s="604">
        <f>DO16-DN16</f>
        <v>0</v>
      </c>
      <c r="DQ16" s="686">
        <f t="shared" si="31"/>
        <v>0</v>
      </c>
      <c r="DR16" s="635">
        <f t="shared" si="2"/>
        <v>0</v>
      </c>
      <c r="DS16" s="604">
        <f t="shared" si="3"/>
        <v>0</v>
      </c>
      <c r="DT16" s="604">
        <f t="shared" si="32"/>
        <v>0</v>
      </c>
      <c r="DU16" s="686">
        <f t="shared" si="40"/>
        <v>0</v>
      </c>
      <c r="DV16" s="635">
        <f t="shared" si="33"/>
        <v>0</v>
      </c>
      <c r="DW16" s="604">
        <f t="shared" si="34"/>
        <v>0</v>
      </c>
      <c r="DX16" s="604">
        <f t="shared" si="35"/>
        <v>0</v>
      </c>
      <c r="DY16" s="472">
        <f t="shared" si="36"/>
        <v>0</v>
      </c>
      <c r="EN16" s="321"/>
      <c r="EO16" s="322"/>
      <c r="EP16" s="323"/>
      <c r="EQ16" s="322"/>
      <c r="ER16" s="297"/>
    </row>
    <row r="17" spans="2:150" s="208" customFormat="1" x14ac:dyDescent="0.2">
      <c r="B17" s="1364" t="s">
        <v>105</v>
      </c>
      <c r="C17" s="663">
        <f>'3 Saalis'!V81</f>
        <v>0</v>
      </c>
      <c r="D17" s="680">
        <f t="shared" si="44"/>
        <v>0</v>
      </c>
      <c r="E17" s="661">
        <f>'4 Myynti'!CL36</f>
        <v>0</v>
      </c>
      <c r="F17" s="662">
        <f t="shared" si="45"/>
        <v>0</v>
      </c>
      <c r="G17" s="1591"/>
      <c r="H17" s="1590"/>
      <c r="I17" s="661">
        <f t="shared" si="46"/>
        <v>0</v>
      </c>
      <c r="J17" s="662">
        <f t="shared" si="47"/>
        <v>0</v>
      </c>
      <c r="K17" s="659">
        <f t="shared" si="48"/>
        <v>0</v>
      </c>
      <c r="L17" s="660">
        <f t="shared" si="49"/>
        <v>0</v>
      </c>
      <c r="M17" s="1204">
        <f t="shared" si="50"/>
        <v>0</v>
      </c>
      <c r="N17" s="662">
        <f t="shared" si="51"/>
        <v>0</v>
      </c>
      <c r="P17" s="1364" t="s">
        <v>105</v>
      </c>
      <c r="Q17" s="663">
        <f>'3 Saalis'!V103</f>
        <v>0</v>
      </c>
      <c r="R17" s="680">
        <f t="shared" si="52"/>
        <v>0</v>
      </c>
      <c r="S17" s="661">
        <f>'4 Myynti'!CL59</f>
        <v>0</v>
      </c>
      <c r="T17" s="662">
        <f t="shared" si="53"/>
        <v>0</v>
      </c>
      <c r="U17" s="1591"/>
      <c r="V17" s="1590"/>
      <c r="W17" s="661">
        <f t="shared" si="54"/>
        <v>0</v>
      </c>
      <c r="X17" s="662">
        <f t="shared" si="55"/>
        <v>0</v>
      </c>
      <c r="Y17" s="659">
        <f t="shared" si="56"/>
        <v>0</v>
      </c>
      <c r="Z17" s="660">
        <f t="shared" si="57"/>
        <v>0</v>
      </c>
      <c r="AA17" s="1204">
        <f t="shared" si="58"/>
        <v>0</v>
      </c>
      <c r="AB17" s="662">
        <f t="shared" si="59"/>
        <v>0</v>
      </c>
      <c r="AD17" s="1364" t="s">
        <v>105</v>
      </c>
      <c r="AE17" s="663">
        <f>'3 Saalis'!V125</f>
        <v>0</v>
      </c>
      <c r="AF17" s="680">
        <f t="shared" si="92"/>
        <v>0</v>
      </c>
      <c r="AG17" s="661">
        <f>'4 Myynti'!CL82</f>
        <v>0</v>
      </c>
      <c r="AH17" s="662">
        <f t="shared" si="60"/>
        <v>0</v>
      </c>
      <c r="AI17" s="1591"/>
      <c r="AJ17" s="1590"/>
      <c r="AK17" s="661">
        <f t="shared" si="61"/>
        <v>0</v>
      </c>
      <c r="AL17" s="662">
        <f t="shared" si="41"/>
        <v>0</v>
      </c>
      <c r="AM17" s="659">
        <f t="shared" si="93"/>
        <v>0</v>
      </c>
      <c r="AN17" s="660">
        <f t="shared" si="62"/>
        <v>0</v>
      </c>
      <c r="AO17" s="1204">
        <f t="shared" si="63"/>
        <v>0</v>
      </c>
      <c r="AP17" s="662">
        <f t="shared" si="64"/>
        <v>0</v>
      </c>
      <c r="AR17" s="1364" t="s">
        <v>105</v>
      </c>
      <c r="AS17" s="663">
        <f>'3 Saalis'!V147</f>
        <v>0</v>
      </c>
      <c r="AT17" s="680">
        <f t="shared" si="65"/>
        <v>0</v>
      </c>
      <c r="AU17" s="661">
        <f>'4 Myynti'!CL105</f>
        <v>0</v>
      </c>
      <c r="AV17" s="662">
        <f t="shared" si="66"/>
        <v>0</v>
      </c>
      <c r="AW17" s="1591"/>
      <c r="AX17" s="1590"/>
      <c r="AY17" s="661">
        <f t="shared" si="67"/>
        <v>0</v>
      </c>
      <c r="AZ17" s="662">
        <f t="shared" si="68"/>
        <v>0</v>
      </c>
      <c r="BA17" s="659">
        <f t="shared" si="94"/>
        <v>0</v>
      </c>
      <c r="BB17" s="660">
        <f t="shared" si="69"/>
        <v>0</v>
      </c>
      <c r="BC17" s="1204">
        <f t="shared" si="70"/>
        <v>0</v>
      </c>
      <c r="BD17" s="662">
        <f t="shared" si="100"/>
        <v>0</v>
      </c>
      <c r="BE17" s="314"/>
      <c r="BF17" s="1364" t="s">
        <v>105</v>
      </c>
      <c r="BG17" s="663">
        <f>'3 Saalis'!V169</f>
        <v>0</v>
      </c>
      <c r="BH17" s="680">
        <f t="shared" si="71"/>
        <v>0</v>
      </c>
      <c r="BI17" s="661">
        <f>'4 Myynti'!CL128</f>
        <v>0</v>
      </c>
      <c r="BJ17" s="662">
        <f t="shared" si="42"/>
        <v>0</v>
      </c>
      <c r="BK17" s="1591"/>
      <c r="BL17" s="1590"/>
      <c r="BM17" s="661">
        <f t="shared" si="72"/>
        <v>0</v>
      </c>
      <c r="BN17" s="662">
        <f t="shared" si="73"/>
        <v>0</v>
      </c>
      <c r="BO17" s="659">
        <f t="shared" si="74"/>
        <v>0</v>
      </c>
      <c r="BP17" s="660">
        <f t="shared" si="75"/>
        <v>0</v>
      </c>
      <c r="BQ17" s="1204">
        <f t="shared" si="76"/>
        <v>0</v>
      </c>
      <c r="BR17" s="662">
        <f t="shared" si="97"/>
        <v>0</v>
      </c>
      <c r="BS17" s="297"/>
      <c r="BT17" s="1364" t="s">
        <v>105</v>
      </c>
      <c r="BU17" s="663">
        <f>'3 Saalis'!V191</f>
        <v>0</v>
      </c>
      <c r="BV17" s="680">
        <f t="shared" si="77"/>
        <v>0</v>
      </c>
      <c r="BW17" s="661">
        <f>'4 Myynti'!CL151</f>
        <v>0</v>
      </c>
      <c r="BX17" s="662">
        <f t="shared" si="78"/>
        <v>0</v>
      </c>
      <c r="BY17" s="1591"/>
      <c r="BZ17" s="1590"/>
      <c r="CA17" s="661">
        <f t="shared" si="79"/>
        <v>0</v>
      </c>
      <c r="CB17" s="662">
        <f>IF(CA17=0,0,CA17/$CA$25)</f>
        <v>0</v>
      </c>
      <c r="CC17" s="659">
        <f t="shared" si="80"/>
        <v>0</v>
      </c>
      <c r="CD17" s="660">
        <f t="shared" si="81"/>
        <v>0</v>
      </c>
      <c r="CE17" s="1204">
        <f t="shared" si="82"/>
        <v>0</v>
      </c>
      <c r="CF17" s="662">
        <f t="shared" si="83"/>
        <v>0</v>
      </c>
      <c r="CG17"/>
      <c r="CH17" s="1364" t="s">
        <v>105</v>
      </c>
      <c r="CI17" s="663">
        <f t="shared" si="84"/>
        <v>0</v>
      </c>
      <c r="CJ17" s="682">
        <f>'4 Myynti'!AK13</f>
        <v>0</v>
      </c>
      <c r="CK17" s="661">
        <f t="shared" si="98"/>
        <v>0</v>
      </c>
      <c r="CL17" s="662">
        <f>IF(CK17=0,0,CK17/$CK$25)</f>
        <v>0</v>
      </c>
      <c r="CM17" s="659">
        <f t="shared" si="86"/>
        <v>0</v>
      </c>
      <c r="CN17" s="680">
        <f t="shared" si="96"/>
        <v>0</v>
      </c>
      <c r="CO17" s="661">
        <f t="shared" si="87"/>
        <v>0</v>
      </c>
      <c r="CP17" s="662">
        <f t="shared" si="88"/>
        <v>0</v>
      </c>
      <c r="CQ17" s="659">
        <f t="shared" si="89"/>
        <v>0</v>
      </c>
      <c r="CR17" s="660">
        <f t="shared" si="90"/>
        <v>0</v>
      </c>
      <c r="CS17" s="1204">
        <f t="shared" si="99"/>
        <v>0</v>
      </c>
      <c r="CT17" s="662">
        <f t="shared" si="91"/>
        <v>0</v>
      </c>
      <c r="CW17" s="209" t="s">
        <v>36</v>
      </c>
      <c r="CX17" s="635">
        <f t="shared" si="37"/>
        <v>0</v>
      </c>
      <c r="CY17" s="604">
        <f t="shared" si="38"/>
        <v>0</v>
      </c>
      <c r="CZ17" s="604">
        <f t="shared" si="43"/>
        <v>0</v>
      </c>
      <c r="DA17" s="686">
        <f t="shared" si="39"/>
        <v>0</v>
      </c>
      <c r="DB17" s="635">
        <f t="shared" si="18"/>
        <v>0</v>
      </c>
      <c r="DC17" s="604">
        <f t="shared" si="0"/>
        <v>0</v>
      </c>
      <c r="DD17" s="604">
        <f t="shared" si="19"/>
        <v>0</v>
      </c>
      <c r="DE17" s="686">
        <f t="shared" si="20"/>
        <v>0</v>
      </c>
      <c r="DF17" s="635">
        <f t="shared" si="21"/>
        <v>0</v>
      </c>
      <c r="DG17" s="604">
        <f t="shared" si="22"/>
        <v>0</v>
      </c>
      <c r="DH17" s="604">
        <f t="shared" si="23"/>
        <v>0</v>
      </c>
      <c r="DI17" s="686">
        <f t="shared" si="24"/>
        <v>0</v>
      </c>
      <c r="DJ17" s="635">
        <f t="shared" si="25"/>
        <v>0</v>
      </c>
      <c r="DK17" s="604">
        <f t="shared" si="1"/>
        <v>0</v>
      </c>
      <c r="DL17" s="604">
        <f t="shared" si="26"/>
        <v>0</v>
      </c>
      <c r="DM17" s="686">
        <f t="shared" si="27"/>
        <v>0</v>
      </c>
      <c r="DN17" s="635">
        <f t="shared" si="28"/>
        <v>0</v>
      </c>
      <c r="DO17" s="604">
        <f t="shared" si="29"/>
        <v>0</v>
      </c>
      <c r="DP17" s="604">
        <f t="shared" si="30"/>
        <v>0</v>
      </c>
      <c r="DQ17" s="686">
        <f t="shared" si="31"/>
        <v>0</v>
      </c>
      <c r="DR17" s="635">
        <f t="shared" si="2"/>
        <v>0</v>
      </c>
      <c r="DS17" s="604">
        <f t="shared" si="3"/>
        <v>0</v>
      </c>
      <c r="DT17" s="604">
        <f t="shared" si="32"/>
        <v>0</v>
      </c>
      <c r="DU17" s="686">
        <f t="shared" si="40"/>
        <v>0</v>
      </c>
      <c r="DV17" s="635">
        <f t="shared" si="33"/>
        <v>0</v>
      </c>
      <c r="DW17" s="604">
        <f t="shared" si="34"/>
        <v>0</v>
      </c>
      <c r="DX17" s="604">
        <f t="shared" si="35"/>
        <v>0</v>
      </c>
      <c r="DY17" s="472">
        <f t="shared" si="36"/>
        <v>0</v>
      </c>
      <c r="EN17" s="321"/>
      <c r="EO17" s="322"/>
      <c r="EP17" s="323"/>
      <c r="EQ17" s="322"/>
      <c r="ER17" s="297"/>
    </row>
    <row r="18" spans="2:150" s="208" customFormat="1" x14ac:dyDescent="0.2">
      <c r="B18" s="1364" t="s">
        <v>106</v>
      </c>
      <c r="C18" s="663">
        <f>'3 Saalis'!V82</f>
        <v>0</v>
      </c>
      <c r="D18" s="680">
        <f>IF(C18=0,0,E18/C18)</f>
        <v>0</v>
      </c>
      <c r="E18" s="661">
        <f>'4 Myynti'!CL37</f>
        <v>0</v>
      </c>
      <c r="F18" s="662">
        <f t="shared" si="45"/>
        <v>0</v>
      </c>
      <c r="G18" s="1591"/>
      <c r="H18" s="1590"/>
      <c r="I18" s="661">
        <f>G18*H18</f>
        <v>0</v>
      </c>
      <c r="J18" s="662">
        <f t="shared" si="47"/>
        <v>0</v>
      </c>
      <c r="K18" s="659">
        <f t="shared" si="48"/>
        <v>0</v>
      </c>
      <c r="L18" s="660">
        <f t="shared" si="49"/>
        <v>0</v>
      </c>
      <c r="M18" s="1204">
        <f t="shared" si="50"/>
        <v>0</v>
      </c>
      <c r="N18" s="662">
        <f t="shared" si="51"/>
        <v>0</v>
      </c>
      <c r="P18" s="1364" t="s">
        <v>106</v>
      </c>
      <c r="Q18" s="663">
        <f>'3 Saalis'!V104</f>
        <v>0</v>
      </c>
      <c r="R18" s="680">
        <f t="shared" si="52"/>
        <v>0</v>
      </c>
      <c r="S18" s="661">
        <f>'4 Myynti'!CL60</f>
        <v>0</v>
      </c>
      <c r="T18" s="662">
        <f t="shared" si="53"/>
        <v>0</v>
      </c>
      <c r="U18" s="1591"/>
      <c r="V18" s="1590"/>
      <c r="W18" s="661">
        <f t="shared" si="54"/>
        <v>0</v>
      </c>
      <c r="X18" s="662">
        <f t="shared" si="55"/>
        <v>0</v>
      </c>
      <c r="Y18" s="659">
        <f t="shared" si="56"/>
        <v>0</v>
      </c>
      <c r="Z18" s="660">
        <f t="shared" si="57"/>
        <v>0</v>
      </c>
      <c r="AA18" s="1204">
        <f t="shared" si="58"/>
        <v>0</v>
      </c>
      <c r="AB18" s="662">
        <f t="shared" si="59"/>
        <v>0</v>
      </c>
      <c r="AD18" s="1364" t="s">
        <v>106</v>
      </c>
      <c r="AE18" s="663">
        <f>'3 Saalis'!V126</f>
        <v>0</v>
      </c>
      <c r="AF18" s="680">
        <f t="shared" si="92"/>
        <v>0</v>
      </c>
      <c r="AG18" s="661">
        <f>'4 Myynti'!CL83</f>
        <v>0</v>
      </c>
      <c r="AH18" s="662">
        <f t="shared" si="60"/>
        <v>0</v>
      </c>
      <c r="AI18" s="1591"/>
      <c r="AJ18" s="1590"/>
      <c r="AK18" s="661">
        <f t="shared" si="61"/>
        <v>0</v>
      </c>
      <c r="AL18" s="662">
        <f t="shared" si="41"/>
        <v>0</v>
      </c>
      <c r="AM18" s="659">
        <f t="shared" si="93"/>
        <v>0</v>
      </c>
      <c r="AN18" s="660">
        <f t="shared" si="62"/>
        <v>0</v>
      </c>
      <c r="AO18" s="1204">
        <f t="shared" si="63"/>
        <v>0</v>
      </c>
      <c r="AP18" s="662">
        <f t="shared" si="64"/>
        <v>0</v>
      </c>
      <c r="AR18" s="1364" t="s">
        <v>106</v>
      </c>
      <c r="AS18" s="663">
        <f>'3 Saalis'!V148</f>
        <v>0</v>
      </c>
      <c r="AT18" s="680">
        <f t="shared" si="65"/>
        <v>0</v>
      </c>
      <c r="AU18" s="661">
        <f>'4 Myynti'!CL106</f>
        <v>0</v>
      </c>
      <c r="AV18" s="662">
        <f t="shared" si="66"/>
        <v>0</v>
      </c>
      <c r="AW18" s="1591"/>
      <c r="AX18" s="1590"/>
      <c r="AY18" s="661">
        <f t="shared" si="67"/>
        <v>0</v>
      </c>
      <c r="AZ18" s="662">
        <f t="shared" si="68"/>
        <v>0</v>
      </c>
      <c r="BA18" s="659">
        <f t="shared" si="94"/>
        <v>0</v>
      </c>
      <c r="BB18" s="660">
        <f t="shared" si="69"/>
        <v>0</v>
      </c>
      <c r="BC18" s="1204">
        <f t="shared" si="70"/>
        <v>0</v>
      </c>
      <c r="BD18" s="662">
        <f t="shared" si="100"/>
        <v>0</v>
      </c>
      <c r="BE18" s="314"/>
      <c r="BF18" s="1364" t="s">
        <v>106</v>
      </c>
      <c r="BG18" s="663">
        <f>'3 Saalis'!V170</f>
        <v>0</v>
      </c>
      <c r="BH18" s="680">
        <f t="shared" si="71"/>
        <v>0</v>
      </c>
      <c r="BI18" s="661">
        <f>'4 Myynti'!CL129</f>
        <v>0</v>
      </c>
      <c r="BJ18" s="662">
        <f>IF(BI18=0,0,BI18/$BI$25)</f>
        <v>0</v>
      </c>
      <c r="BK18" s="1591"/>
      <c r="BL18" s="1590"/>
      <c r="BM18" s="661">
        <f t="shared" si="72"/>
        <v>0</v>
      </c>
      <c r="BN18" s="662">
        <f t="shared" si="73"/>
        <v>0</v>
      </c>
      <c r="BO18" s="659">
        <f t="shared" si="74"/>
        <v>0</v>
      </c>
      <c r="BP18" s="660">
        <f t="shared" si="75"/>
        <v>0</v>
      </c>
      <c r="BQ18" s="1204">
        <f>BM18-BI18</f>
        <v>0</v>
      </c>
      <c r="BR18" s="662">
        <f t="shared" si="97"/>
        <v>0</v>
      </c>
      <c r="BS18" s="297"/>
      <c r="BT18" s="1364" t="s">
        <v>106</v>
      </c>
      <c r="BU18" s="663">
        <f>'3 Saalis'!V192</f>
        <v>0</v>
      </c>
      <c r="BV18" s="680">
        <f t="shared" si="77"/>
        <v>0</v>
      </c>
      <c r="BW18" s="661">
        <f>'4 Myynti'!CL152</f>
        <v>0</v>
      </c>
      <c r="BX18" s="662">
        <f t="shared" si="78"/>
        <v>0</v>
      </c>
      <c r="BY18" s="1591"/>
      <c r="BZ18" s="1590"/>
      <c r="CA18" s="661">
        <f t="shared" si="79"/>
        <v>0</v>
      </c>
      <c r="CB18" s="662">
        <f t="shared" si="95"/>
        <v>0</v>
      </c>
      <c r="CC18" s="659">
        <f t="shared" si="80"/>
        <v>0</v>
      </c>
      <c r="CD18" s="660">
        <f t="shared" si="81"/>
        <v>0</v>
      </c>
      <c r="CE18" s="1204">
        <f t="shared" si="82"/>
        <v>0</v>
      </c>
      <c r="CF18" s="662">
        <f t="shared" si="83"/>
        <v>0</v>
      </c>
      <c r="CG18"/>
      <c r="CH18" s="1364" t="s">
        <v>106</v>
      </c>
      <c r="CI18" s="663">
        <f t="shared" si="84"/>
        <v>0</v>
      </c>
      <c r="CJ18" s="682">
        <f>'4 Myynti'!AK14</f>
        <v>0</v>
      </c>
      <c r="CK18" s="661">
        <f t="shared" si="98"/>
        <v>0</v>
      </c>
      <c r="CL18" s="662">
        <f t="shared" si="85"/>
        <v>0</v>
      </c>
      <c r="CM18" s="659">
        <f t="shared" si="86"/>
        <v>0</v>
      </c>
      <c r="CN18" s="680">
        <f t="shared" si="96"/>
        <v>0</v>
      </c>
      <c r="CO18" s="661">
        <f t="shared" si="87"/>
        <v>0</v>
      </c>
      <c r="CP18" s="662">
        <f t="shared" si="88"/>
        <v>0</v>
      </c>
      <c r="CQ18" s="659">
        <f t="shared" si="89"/>
        <v>0</v>
      </c>
      <c r="CR18" s="660">
        <f t="shared" si="90"/>
        <v>0</v>
      </c>
      <c r="CS18" s="1204">
        <f t="shared" si="99"/>
        <v>0</v>
      </c>
      <c r="CT18" s="662">
        <f t="shared" si="91"/>
        <v>0</v>
      </c>
      <c r="CW18" s="209" t="s">
        <v>94</v>
      </c>
      <c r="CX18" s="635">
        <f t="shared" si="37"/>
        <v>0</v>
      </c>
      <c r="CY18" s="604">
        <f t="shared" si="38"/>
        <v>0</v>
      </c>
      <c r="CZ18" s="604">
        <f t="shared" si="43"/>
        <v>0</v>
      </c>
      <c r="DA18" s="686">
        <f t="shared" si="39"/>
        <v>0</v>
      </c>
      <c r="DB18" s="635">
        <f t="shared" si="18"/>
        <v>0</v>
      </c>
      <c r="DC18" s="604">
        <f t="shared" si="0"/>
        <v>0</v>
      </c>
      <c r="DD18" s="604">
        <f t="shared" si="19"/>
        <v>0</v>
      </c>
      <c r="DE18" s="686">
        <f t="shared" si="20"/>
        <v>0</v>
      </c>
      <c r="DF18" s="635">
        <f t="shared" si="21"/>
        <v>0</v>
      </c>
      <c r="DG18" s="604">
        <f t="shared" si="22"/>
        <v>0</v>
      </c>
      <c r="DH18" s="604">
        <f t="shared" si="23"/>
        <v>0</v>
      </c>
      <c r="DI18" s="686">
        <f t="shared" si="24"/>
        <v>0</v>
      </c>
      <c r="DJ18" s="635">
        <f t="shared" si="25"/>
        <v>0</v>
      </c>
      <c r="DK18" s="604">
        <f t="shared" si="1"/>
        <v>0</v>
      </c>
      <c r="DL18" s="604">
        <f t="shared" si="26"/>
        <v>0</v>
      </c>
      <c r="DM18" s="686">
        <f t="shared" si="27"/>
        <v>0</v>
      </c>
      <c r="DN18" s="635">
        <f t="shared" si="28"/>
        <v>0</v>
      </c>
      <c r="DO18" s="604">
        <f t="shared" si="29"/>
        <v>0</v>
      </c>
      <c r="DP18" s="604">
        <f t="shared" si="30"/>
        <v>0</v>
      </c>
      <c r="DQ18" s="686">
        <f t="shared" si="31"/>
        <v>0</v>
      </c>
      <c r="DR18" s="635">
        <f t="shared" si="2"/>
        <v>0</v>
      </c>
      <c r="DS18" s="604">
        <f t="shared" si="3"/>
        <v>0</v>
      </c>
      <c r="DT18" s="604">
        <f t="shared" si="32"/>
        <v>0</v>
      </c>
      <c r="DU18" s="686">
        <f t="shared" si="40"/>
        <v>0</v>
      </c>
      <c r="DV18" s="635">
        <f t="shared" si="33"/>
        <v>0</v>
      </c>
      <c r="DW18" s="604">
        <f t="shared" si="34"/>
        <v>0</v>
      </c>
      <c r="DX18" s="604">
        <f t="shared" si="35"/>
        <v>0</v>
      </c>
      <c r="DY18" s="472">
        <f t="shared" si="36"/>
        <v>0</v>
      </c>
      <c r="EN18" s="321"/>
      <c r="EO18" s="322"/>
      <c r="EP18" s="323"/>
      <c r="EQ18" s="322"/>
      <c r="ER18" s="297"/>
    </row>
    <row r="19" spans="2:150" s="208" customFormat="1" ht="13.5" thickBot="1" x14ac:dyDescent="0.25">
      <c r="B19" s="1364" t="s">
        <v>37</v>
      </c>
      <c r="C19" s="663">
        <f>'3 Saalis'!V83</f>
        <v>0</v>
      </c>
      <c r="D19" s="680">
        <f t="shared" si="44"/>
        <v>0</v>
      </c>
      <c r="E19" s="661">
        <f>'4 Myynti'!CL38</f>
        <v>0</v>
      </c>
      <c r="F19" s="662">
        <f t="shared" si="45"/>
        <v>0</v>
      </c>
      <c r="G19" s="1591"/>
      <c r="H19" s="1590"/>
      <c r="I19" s="661">
        <f t="shared" si="46"/>
        <v>0</v>
      </c>
      <c r="J19" s="662">
        <f t="shared" si="47"/>
        <v>0</v>
      </c>
      <c r="K19" s="659">
        <f t="shared" si="48"/>
        <v>0</v>
      </c>
      <c r="L19" s="660">
        <f t="shared" si="49"/>
        <v>0</v>
      </c>
      <c r="M19" s="1204">
        <f t="shared" si="50"/>
        <v>0</v>
      </c>
      <c r="N19" s="662">
        <f t="shared" si="51"/>
        <v>0</v>
      </c>
      <c r="P19" s="1364" t="s">
        <v>37</v>
      </c>
      <c r="Q19" s="663">
        <f>'3 Saalis'!V105</f>
        <v>0</v>
      </c>
      <c r="R19" s="680">
        <f>IF(Q19=0,0,S19/Q19)</f>
        <v>0</v>
      </c>
      <c r="S19" s="661">
        <f>'4 Myynti'!CL61</f>
        <v>0</v>
      </c>
      <c r="T19" s="662">
        <f t="shared" si="53"/>
        <v>0</v>
      </c>
      <c r="U19" s="1591"/>
      <c r="V19" s="1590"/>
      <c r="W19" s="661">
        <f t="shared" si="54"/>
        <v>0</v>
      </c>
      <c r="X19" s="662">
        <f t="shared" si="55"/>
        <v>0</v>
      </c>
      <c r="Y19" s="659">
        <f t="shared" si="56"/>
        <v>0</v>
      </c>
      <c r="Z19" s="660">
        <f t="shared" si="57"/>
        <v>0</v>
      </c>
      <c r="AA19" s="1204">
        <f t="shared" si="58"/>
        <v>0</v>
      </c>
      <c r="AB19" s="662">
        <f t="shared" si="59"/>
        <v>0</v>
      </c>
      <c r="AD19" s="1364" t="s">
        <v>37</v>
      </c>
      <c r="AE19" s="663">
        <f>'3 Saalis'!V127</f>
        <v>0</v>
      </c>
      <c r="AF19" s="680">
        <f t="shared" si="92"/>
        <v>0</v>
      </c>
      <c r="AG19" s="661">
        <f>'4 Myynti'!CL84</f>
        <v>0</v>
      </c>
      <c r="AH19" s="662">
        <f t="shared" si="60"/>
        <v>0</v>
      </c>
      <c r="AI19" s="1591"/>
      <c r="AJ19" s="1590"/>
      <c r="AK19" s="661">
        <f t="shared" si="61"/>
        <v>0</v>
      </c>
      <c r="AL19" s="662">
        <f t="shared" si="41"/>
        <v>0</v>
      </c>
      <c r="AM19" s="659">
        <f t="shared" si="93"/>
        <v>0</v>
      </c>
      <c r="AN19" s="660">
        <f t="shared" si="62"/>
        <v>0</v>
      </c>
      <c r="AO19" s="1204">
        <f t="shared" si="63"/>
        <v>0</v>
      </c>
      <c r="AP19" s="662">
        <f t="shared" si="64"/>
        <v>0</v>
      </c>
      <c r="AR19" s="1364" t="s">
        <v>37</v>
      </c>
      <c r="AS19" s="663">
        <f>'3 Saalis'!V149</f>
        <v>0</v>
      </c>
      <c r="AT19" s="680">
        <f t="shared" si="65"/>
        <v>0</v>
      </c>
      <c r="AU19" s="661">
        <f>'4 Myynti'!CL107</f>
        <v>0</v>
      </c>
      <c r="AV19" s="662">
        <f>IF(AU19=0,0,AU19/$AU$25)</f>
        <v>0</v>
      </c>
      <c r="AW19" s="1591"/>
      <c r="AX19" s="1590"/>
      <c r="AY19" s="661">
        <f t="shared" si="67"/>
        <v>0</v>
      </c>
      <c r="AZ19" s="662">
        <f t="shared" si="68"/>
        <v>0</v>
      </c>
      <c r="BA19" s="659">
        <f t="shared" si="94"/>
        <v>0</v>
      </c>
      <c r="BB19" s="660">
        <f t="shared" si="69"/>
        <v>0</v>
      </c>
      <c r="BC19" s="1204">
        <f t="shared" si="70"/>
        <v>0</v>
      </c>
      <c r="BD19" s="662">
        <f t="shared" si="100"/>
        <v>0</v>
      </c>
      <c r="BE19" s="314"/>
      <c r="BF19" s="1364" t="s">
        <v>37</v>
      </c>
      <c r="BG19" s="663">
        <f>'3 Saalis'!V171</f>
        <v>0</v>
      </c>
      <c r="BH19" s="680">
        <f t="shared" si="71"/>
        <v>0</v>
      </c>
      <c r="BI19" s="661">
        <f>'4 Myynti'!CL130</f>
        <v>0</v>
      </c>
      <c r="BJ19" s="662">
        <f t="shared" si="42"/>
        <v>0</v>
      </c>
      <c r="BK19" s="1591"/>
      <c r="BL19" s="1590"/>
      <c r="BM19" s="661">
        <f t="shared" si="72"/>
        <v>0</v>
      </c>
      <c r="BN19" s="662">
        <f t="shared" si="73"/>
        <v>0</v>
      </c>
      <c r="BO19" s="659">
        <f t="shared" si="74"/>
        <v>0</v>
      </c>
      <c r="BP19" s="660">
        <f t="shared" si="75"/>
        <v>0</v>
      </c>
      <c r="BQ19" s="1204">
        <f t="shared" si="76"/>
        <v>0</v>
      </c>
      <c r="BR19" s="662">
        <f t="shared" si="97"/>
        <v>0</v>
      </c>
      <c r="BS19" s="297"/>
      <c r="BT19" s="1364" t="s">
        <v>37</v>
      </c>
      <c r="BU19" s="663">
        <f>'3 Saalis'!V193</f>
        <v>0</v>
      </c>
      <c r="BV19" s="680">
        <f t="shared" si="77"/>
        <v>0</v>
      </c>
      <c r="BW19" s="661">
        <f>'4 Myynti'!CL153</f>
        <v>0</v>
      </c>
      <c r="BX19" s="662">
        <f t="shared" si="78"/>
        <v>0</v>
      </c>
      <c r="BY19" s="1591"/>
      <c r="BZ19" s="1590"/>
      <c r="CA19" s="661">
        <f t="shared" si="79"/>
        <v>0</v>
      </c>
      <c r="CB19" s="662">
        <f t="shared" si="95"/>
        <v>0</v>
      </c>
      <c r="CC19" s="659">
        <f t="shared" si="80"/>
        <v>0</v>
      </c>
      <c r="CD19" s="660">
        <f t="shared" si="81"/>
        <v>0</v>
      </c>
      <c r="CE19" s="1204">
        <f t="shared" ref="CE19:CE25" si="101">CA19-BW19</f>
        <v>0</v>
      </c>
      <c r="CF19" s="662">
        <f t="shared" si="83"/>
        <v>0</v>
      </c>
      <c r="CG19"/>
      <c r="CH19" s="1364" t="s">
        <v>37</v>
      </c>
      <c r="CI19" s="663">
        <f t="shared" si="84"/>
        <v>0</v>
      </c>
      <c r="CJ19" s="682">
        <f>'4 Myynti'!AK15</f>
        <v>0</v>
      </c>
      <c r="CK19" s="661">
        <f t="shared" si="98"/>
        <v>0</v>
      </c>
      <c r="CL19" s="662">
        <f t="shared" si="85"/>
        <v>0</v>
      </c>
      <c r="CM19" s="659">
        <f t="shared" si="86"/>
        <v>0</v>
      </c>
      <c r="CN19" s="680">
        <f t="shared" si="96"/>
        <v>0</v>
      </c>
      <c r="CO19" s="661">
        <f t="shared" si="87"/>
        <v>0</v>
      </c>
      <c r="CP19" s="662">
        <f>IF(CO19=0,0,CO19/$CO$25)</f>
        <v>0</v>
      </c>
      <c r="CQ19" s="659">
        <f t="shared" si="89"/>
        <v>0</v>
      </c>
      <c r="CR19" s="660">
        <f t="shared" si="90"/>
        <v>0</v>
      </c>
      <c r="CS19" s="1204">
        <f t="shared" si="99"/>
        <v>0</v>
      </c>
      <c r="CT19" s="662">
        <f t="shared" si="91"/>
        <v>0</v>
      </c>
      <c r="CW19" s="209" t="s">
        <v>93</v>
      </c>
      <c r="CX19" s="637">
        <f>CK22</f>
        <v>0</v>
      </c>
      <c r="CY19" s="638">
        <f t="shared" si="38"/>
        <v>0</v>
      </c>
      <c r="CZ19" s="638">
        <f>CY19-CX19</f>
        <v>0</v>
      </c>
      <c r="DA19" s="1155">
        <f t="shared" si="39"/>
        <v>0</v>
      </c>
      <c r="DB19" s="637">
        <f t="shared" si="18"/>
        <v>0</v>
      </c>
      <c r="DC19" s="638">
        <f t="shared" si="0"/>
        <v>0</v>
      </c>
      <c r="DD19" s="638">
        <f t="shared" si="19"/>
        <v>0</v>
      </c>
      <c r="DE19" s="1155">
        <f t="shared" si="20"/>
        <v>0</v>
      </c>
      <c r="DF19" s="637">
        <f t="shared" si="21"/>
        <v>0</v>
      </c>
      <c r="DG19" s="638">
        <f t="shared" si="22"/>
        <v>0</v>
      </c>
      <c r="DH19" s="638">
        <f t="shared" si="23"/>
        <v>0</v>
      </c>
      <c r="DI19" s="1155">
        <f t="shared" si="24"/>
        <v>0</v>
      </c>
      <c r="DJ19" s="637">
        <f t="shared" si="25"/>
        <v>0</v>
      </c>
      <c r="DK19" s="638">
        <f t="shared" si="1"/>
        <v>0</v>
      </c>
      <c r="DL19" s="638">
        <f t="shared" si="26"/>
        <v>0</v>
      </c>
      <c r="DM19" s="1155">
        <f t="shared" si="27"/>
        <v>0</v>
      </c>
      <c r="DN19" s="637">
        <f t="shared" si="28"/>
        <v>0</v>
      </c>
      <c r="DO19" s="638">
        <f t="shared" si="29"/>
        <v>0</v>
      </c>
      <c r="DP19" s="638">
        <f t="shared" si="30"/>
        <v>0</v>
      </c>
      <c r="DQ19" s="1155">
        <f t="shared" si="31"/>
        <v>0</v>
      </c>
      <c r="DR19" s="637">
        <f t="shared" si="2"/>
        <v>0</v>
      </c>
      <c r="DS19" s="638">
        <f t="shared" si="3"/>
        <v>0</v>
      </c>
      <c r="DT19" s="638">
        <f t="shared" si="32"/>
        <v>0</v>
      </c>
      <c r="DU19" s="1155">
        <f t="shared" si="40"/>
        <v>0</v>
      </c>
      <c r="DV19" s="637">
        <f t="shared" si="33"/>
        <v>0</v>
      </c>
      <c r="DW19" s="638">
        <f t="shared" si="34"/>
        <v>0</v>
      </c>
      <c r="DX19" s="638">
        <f t="shared" si="35"/>
        <v>0</v>
      </c>
      <c r="DY19" s="1156">
        <f t="shared" si="36"/>
        <v>0</v>
      </c>
      <c r="EN19" s="321"/>
      <c r="EO19" s="322"/>
      <c r="EP19" s="323"/>
      <c r="EQ19" s="322"/>
      <c r="ER19" s="297"/>
    </row>
    <row r="20" spans="2:150" s="208" customFormat="1" ht="13.5" thickBot="1" x14ac:dyDescent="0.25">
      <c r="B20" s="1364" t="s">
        <v>36</v>
      </c>
      <c r="C20" s="663">
        <f>'3 Saalis'!V84</f>
        <v>0</v>
      </c>
      <c r="D20" s="680">
        <f t="shared" si="44"/>
        <v>0</v>
      </c>
      <c r="E20" s="661">
        <f>'4 Myynti'!CL39</f>
        <v>0</v>
      </c>
      <c r="F20" s="662">
        <f t="shared" si="45"/>
        <v>0</v>
      </c>
      <c r="G20" s="1591"/>
      <c r="H20" s="1590"/>
      <c r="I20" s="661">
        <f t="shared" si="46"/>
        <v>0</v>
      </c>
      <c r="J20" s="662">
        <f t="shared" si="47"/>
        <v>0</v>
      </c>
      <c r="K20" s="659">
        <f t="shared" si="48"/>
        <v>0</v>
      </c>
      <c r="L20" s="660">
        <f t="shared" si="49"/>
        <v>0</v>
      </c>
      <c r="M20" s="1204">
        <f t="shared" si="50"/>
        <v>0</v>
      </c>
      <c r="N20" s="662">
        <f t="shared" si="51"/>
        <v>0</v>
      </c>
      <c r="P20" s="1364" t="s">
        <v>36</v>
      </c>
      <c r="Q20" s="663">
        <f>'3 Saalis'!V106</f>
        <v>0</v>
      </c>
      <c r="R20" s="680">
        <f t="shared" si="52"/>
        <v>0</v>
      </c>
      <c r="S20" s="661">
        <f>'4 Myynti'!CL62</f>
        <v>0</v>
      </c>
      <c r="T20" s="662">
        <f t="shared" si="53"/>
        <v>0</v>
      </c>
      <c r="U20" s="1591"/>
      <c r="V20" s="1590"/>
      <c r="W20" s="661">
        <f t="shared" si="54"/>
        <v>0</v>
      </c>
      <c r="X20" s="662">
        <f t="shared" si="55"/>
        <v>0</v>
      </c>
      <c r="Y20" s="659">
        <f t="shared" si="56"/>
        <v>0</v>
      </c>
      <c r="Z20" s="660">
        <f t="shared" si="57"/>
        <v>0</v>
      </c>
      <c r="AA20" s="1204">
        <f t="shared" si="58"/>
        <v>0</v>
      </c>
      <c r="AB20" s="662">
        <f t="shared" si="59"/>
        <v>0</v>
      </c>
      <c r="AD20" s="1364" t="s">
        <v>36</v>
      </c>
      <c r="AE20" s="663">
        <f>'3 Saalis'!V128</f>
        <v>0</v>
      </c>
      <c r="AF20" s="680">
        <f>IF(AE20=0,0,AG20/AE20)</f>
        <v>0</v>
      </c>
      <c r="AG20" s="661">
        <f>'4 Myynti'!CL85</f>
        <v>0</v>
      </c>
      <c r="AH20" s="662">
        <f t="shared" si="60"/>
        <v>0</v>
      </c>
      <c r="AI20" s="1591"/>
      <c r="AJ20" s="1590"/>
      <c r="AK20" s="661">
        <f t="shared" si="61"/>
        <v>0</v>
      </c>
      <c r="AL20" s="662">
        <f t="shared" si="41"/>
        <v>0</v>
      </c>
      <c r="AM20" s="659">
        <f t="shared" si="93"/>
        <v>0</v>
      </c>
      <c r="AN20" s="660">
        <f t="shared" si="62"/>
        <v>0</v>
      </c>
      <c r="AO20" s="1204">
        <f t="shared" si="63"/>
        <v>0</v>
      </c>
      <c r="AP20" s="662">
        <f t="shared" si="64"/>
        <v>0</v>
      </c>
      <c r="AR20" s="1364" t="s">
        <v>36</v>
      </c>
      <c r="AS20" s="663">
        <f>'3 Saalis'!V150</f>
        <v>0</v>
      </c>
      <c r="AT20" s="680">
        <f t="shared" si="65"/>
        <v>0</v>
      </c>
      <c r="AU20" s="661">
        <f>'4 Myynti'!CL108</f>
        <v>0</v>
      </c>
      <c r="AV20" s="662">
        <f t="shared" si="66"/>
        <v>0</v>
      </c>
      <c r="AW20" s="1591"/>
      <c r="AX20" s="1590"/>
      <c r="AY20" s="661">
        <f t="shared" si="67"/>
        <v>0</v>
      </c>
      <c r="AZ20" s="662">
        <f t="shared" si="68"/>
        <v>0</v>
      </c>
      <c r="BA20" s="659">
        <f t="shared" si="94"/>
        <v>0</v>
      </c>
      <c r="BB20" s="660">
        <f t="shared" si="69"/>
        <v>0</v>
      </c>
      <c r="BC20" s="1204">
        <f t="shared" si="70"/>
        <v>0</v>
      </c>
      <c r="BD20" s="662">
        <f t="shared" si="100"/>
        <v>0</v>
      </c>
      <c r="BE20" s="314"/>
      <c r="BF20" s="1364" t="s">
        <v>36</v>
      </c>
      <c r="BG20" s="663">
        <f>'3 Saalis'!V172</f>
        <v>0</v>
      </c>
      <c r="BH20" s="680">
        <f t="shared" si="71"/>
        <v>0</v>
      </c>
      <c r="BI20" s="661">
        <f>'4 Myynti'!CL131</f>
        <v>0</v>
      </c>
      <c r="BJ20" s="662">
        <f t="shared" si="42"/>
        <v>0</v>
      </c>
      <c r="BK20" s="1591"/>
      <c r="BL20" s="1590"/>
      <c r="BM20" s="661">
        <f t="shared" si="72"/>
        <v>0</v>
      </c>
      <c r="BN20" s="662">
        <f t="shared" si="73"/>
        <v>0</v>
      </c>
      <c r="BO20" s="659">
        <f t="shared" si="74"/>
        <v>0</v>
      </c>
      <c r="BP20" s="660">
        <f t="shared" si="75"/>
        <v>0</v>
      </c>
      <c r="BQ20" s="1204">
        <f t="shared" si="76"/>
        <v>0</v>
      </c>
      <c r="BR20" s="662">
        <f t="shared" si="97"/>
        <v>0</v>
      </c>
      <c r="BS20" s="297"/>
      <c r="BT20" s="1364" t="s">
        <v>36</v>
      </c>
      <c r="BU20" s="663">
        <f>'3 Saalis'!V194</f>
        <v>0</v>
      </c>
      <c r="BV20" s="680">
        <f t="shared" si="77"/>
        <v>0</v>
      </c>
      <c r="BW20" s="661">
        <f>'4 Myynti'!CL154</f>
        <v>0</v>
      </c>
      <c r="BX20" s="662">
        <f t="shared" si="78"/>
        <v>0</v>
      </c>
      <c r="BY20" s="1591"/>
      <c r="BZ20" s="1590"/>
      <c r="CA20" s="661">
        <f t="shared" si="79"/>
        <v>0</v>
      </c>
      <c r="CB20" s="662">
        <f t="shared" si="95"/>
        <v>0</v>
      </c>
      <c r="CC20" s="659">
        <f t="shared" si="80"/>
        <v>0</v>
      </c>
      <c r="CD20" s="660">
        <f t="shared" si="81"/>
        <v>0</v>
      </c>
      <c r="CE20" s="1204">
        <f t="shared" si="101"/>
        <v>0</v>
      </c>
      <c r="CF20" s="662">
        <f t="shared" si="83"/>
        <v>0</v>
      </c>
      <c r="CG20"/>
      <c r="CH20" s="1364" t="s">
        <v>36</v>
      </c>
      <c r="CI20" s="663">
        <f t="shared" si="84"/>
        <v>0</v>
      </c>
      <c r="CJ20" s="682">
        <f>'4 Myynti'!AK16</f>
        <v>0</v>
      </c>
      <c r="CK20" s="661">
        <f t="shared" si="98"/>
        <v>0</v>
      </c>
      <c r="CL20" s="662">
        <f t="shared" si="85"/>
        <v>0</v>
      </c>
      <c r="CM20" s="659">
        <f t="shared" si="86"/>
        <v>0</v>
      </c>
      <c r="CN20" s="680">
        <f t="shared" si="96"/>
        <v>0</v>
      </c>
      <c r="CO20" s="661">
        <f t="shared" si="87"/>
        <v>0</v>
      </c>
      <c r="CP20" s="662">
        <f t="shared" si="88"/>
        <v>0</v>
      </c>
      <c r="CQ20" s="659">
        <f t="shared" si="89"/>
        <v>0</v>
      </c>
      <c r="CR20" s="660">
        <f t="shared" si="90"/>
        <v>0</v>
      </c>
      <c r="CS20" s="1204">
        <f t="shared" si="99"/>
        <v>0</v>
      </c>
      <c r="CT20" s="662">
        <f t="shared" si="91"/>
        <v>0</v>
      </c>
      <c r="CW20" s="234" t="s">
        <v>107</v>
      </c>
      <c r="CX20" s="507">
        <f>SUM(CX8:CX19)</f>
        <v>0</v>
      </c>
      <c r="CY20" s="508">
        <f>SUM(CY8:CY19)</f>
        <v>0</v>
      </c>
      <c r="CZ20" s="1154">
        <f>CY20-CX20</f>
        <v>0</v>
      </c>
      <c r="DA20" s="482">
        <f>IF(CZ20=0,0,CZ20/CX20)</f>
        <v>0</v>
      </c>
      <c r="DB20" s="507">
        <f>SUM(DB8:DB19)</f>
        <v>0</v>
      </c>
      <c r="DC20" s="508">
        <f>SUM(DC8:DC19)</f>
        <v>0</v>
      </c>
      <c r="DD20" s="1154">
        <f>DC20-DB20</f>
        <v>0</v>
      </c>
      <c r="DE20" s="482">
        <f t="shared" si="20"/>
        <v>0</v>
      </c>
      <c r="DF20" s="507">
        <f>SUM(DF8:DF19)</f>
        <v>0</v>
      </c>
      <c r="DG20" s="508">
        <f>SUM(DG8:DG19)</f>
        <v>0</v>
      </c>
      <c r="DH20" s="640">
        <f>DG20-DF20</f>
        <v>0</v>
      </c>
      <c r="DI20" s="482">
        <f t="shared" si="24"/>
        <v>0</v>
      </c>
      <c r="DJ20" s="507">
        <f>SUM(DJ8:DJ19)</f>
        <v>0</v>
      </c>
      <c r="DK20" s="508">
        <f>SUM(DK8:DK19)</f>
        <v>0</v>
      </c>
      <c r="DL20" s="640">
        <f>DK20-DJ20</f>
        <v>0</v>
      </c>
      <c r="DM20" s="482">
        <f t="shared" si="27"/>
        <v>0</v>
      </c>
      <c r="DN20" s="507">
        <f>SUM(DN8:DN19)</f>
        <v>0</v>
      </c>
      <c r="DO20" s="508">
        <f>SUM(DO8:DO19)</f>
        <v>0</v>
      </c>
      <c r="DP20" s="640">
        <f>DO20-DN20</f>
        <v>0</v>
      </c>
      <c r="DQ20" s="482">
        <f t="shared" si="31"/>
        <v>0</v>
      </c>
      <c r="DR20" s="507">
        <f>SUM(DR8:DR19)</f>
        <v>0</v>
      </c>
      <c r="DS20" s="508">
        <f>SUM(DS8:DS19)</f>
        <v>0</v>
      </c>
      <c r="DT20" s="640">
        <f>DS20-DR20</f>
        <v>0</v>
      </c>
      <c r="DU20" s="482">
        <f t="shared" si="40"/>
        <v>0</v>
      </c>
      <c r="DV20" s="507">
        <f>SUM(DV8:DV19)</f>
        <v>0</v>
      </c>
      <c r="DW20" s="508">
        <f>SUM(DW8:DW19)</f>
        <v>0</v>
      </c>
      <c r="DX20" s="640">
        <f>DW20-DV20</f>
        <v>0</v>
      </c>
      <c r="DY20" s="482">
        <f>IF(DX20=0,0,DX20/DV20)</f>
        <v>0</v>
      </c>
      <c r="EN20" s="321"/>
      <c r="EO20" s="322"/>
      <c r="EP20" s="323"/>
      <c r="EQ20" s="322"/>
      <c r="ER20" s="297"/>
    </row>
    <row r="21" spans="2:150" s="208" customFormat="1" ht="13.5" thickBot="1" x14ac:dyDescent="0.25">
      <c r="B21" s="1364" t="s">
        <v>94</v>
      </c>
      <c r="C21" s="663">
        <f>'3 Saalis'!V85</f>
        <v>0</v>
      </c>
      <c r="D21" s="680">
        <f t="shared" si="44"/>
        <v>0</v>
      </c>
      <c r="E21" s="661">
        <f>'4 Myynti'!CL40</f>
        <v>0</v>
      </c>
      <c r="F21" s="662">
        <f t="shared" si="45"/>
        <v>0</v>
      </c>
      <c r="G21" s="1591"/>
      <c r="H21" s="1590"/>
      <c r="I21" s="661">
        <f t="shared" si="46"/>
        <v>0</v>
      </c>
      <c r="J21" s="662">
        <f t="shared" si="47"/>
        <v>0</v>
      </c>
      <c r="K21" s="659">
        <f t="shared" si="48"/>
        <v>0</v>
      </c>
      <c r="L21" s="660">
        <f t="shared" si="49"/>
        <v>0</v>
      </c>
      <c r="M21" s="1204">
        <f t="shared" si="50"/>
        <v>0</v>
      </c>
      <c r="N21" s="662">
        <f t="shared" si="51"/>
        <v>0</v>
      </c>
      <c r="P21" s="1364" t="s">
        <v>94</v>
      </c>
      <c r="Q21" s="663">
        <f>'3 Saalis'!V107</f>
        <v>0</v>
      </c>
      <c r="R21" s="680">
        <f t="shared" si="52"/>
        <v>0</v>
      </c>
      <c r="S21" s="661">
        <f>'4 Myynti'!CL63</f>
        <v>0</v>
      </c>
      <c r="T21" s="662">
        <f t="shared" si="53"/>
        <v>0</v>
      </c>
      <c r="U21" s="1591"/>
      <c r="V21" s="1590"/>
      <c r="W21" s="661">
        <f t="shared" si="54"/>
        <v>0</v>
      </c>
      <c r="X21" s="662">
        <f t="shared" si="55"/>
        <v>0</v>
      </c>
      <c r="Y21" s="659">
        <f t="shared" si="56"/>
        <v>0</v>
      </c>
      <c r="Z21" s="660">
        <f t="shared" si="57"/>
        <v>0</v>
      </c>
      <c r="AA21" s="1204">
        <f t="shared" si="58"/>
        <v>0</v>
      </c>
      <c r="AB21" s="662">
        <f t="shared" si="59"/>
        <v>0</v>
      </c>
      <c r="AD21" s="1364" t="s">
        <v>94</v>
      </c>
      <c r="AE21" s="663">
        <f>'3 Saalis'!V129</f>
        <v>0</v>
      </c>
      <c r="AF21" s="680">
        <f t="shared" si="92"/>
        <v>0</v>
      </c>
      <c r="AG21" s="661">
        <f>'4 Myynti'!CL86</f>
        <v>0</v>
      </c>
      <c r="AH21" s="662">
        <f t="shared" si="60"/>
        <v>0</v>
      </c>
      <c r="AI21" s="1591"/>
      <c r="AJ21" s="1590"/>
      <c r="AK21" s="661">
        <f t="shared" si="61"/>
        <v>0</v>
      </c>
      <c r="AL21" s="662">
        <f t="shared" si="41"/>
        <v>0</v>
      </c>
      <c r="AM21" s="659">
        <f t="shared" si="93"/>
        <v>0</v>
      </c>
      <c r="AN21" s="660">
        <f t="shared" si="62"/>
        <v>0</v>
      </c>
      <c r="AO21" s="1204">
        <f t="shared" si="63"/>
        <v>0</v>
      </c>
      <c r="AP21" s="662">
        <f t="shared" si="64"/>
        <v>0</v>
      </c>
      <c r="AR21" s="1364" t="s">
        <v>94</v>
      </c>
      <c r="AS21" s="663">
        <f>'3 Saalis'!V151</f>
        <v>0</v>
      </c>
      <c r="AT21" s="680">
        <f t="shared" si="65"/>
        <v>0</v>
      </c>
      <c r="AU21" s="661">
        <f>'4 Myynti'!CL109</f>
        <v>0</v>
      </c>
      <c r="AV21" s="662">
        <f t="shared" si="66"/>
        <v>0</v>
      </c>
      <c r="AW21" s="1591"/>
      <c r="AX21" s="1590"/>
      <c r="AY21" s="661">
        <f t="shared" si="67"/>
        <v>0</v>
      </c>
      <c r="AZ21" s="662">
        <f t="shared" si="68"/>
        <v>0</v>
      </c>
      <c r="BA21" s="659">
        <f t="shared" si="94"/>
        <v>0</v>
      </c>
      <c r="BB21" s="660">
        <f t="shared" si="69"/>
        <v>0</v>
      </c>
      <c r="BC21" s="1204">
        <f t="shared" si="70"/>
        <v>0</v>
      </c>
      <c r="BD21" s="662">
        <f t="shared" si="100"/>
        <v>0</v>
      </c>
      <c r="BE21" s="314"/>
      <c r="BF21" s="1364" t="s">
        <v>94</v>
      </c>
      <c r="BG21" s="663">
        <f>'3 Saalis'!V173</f>
        <v>0</v>
      </c>
      <c r="BH21" s="680">
        <f t="shared" si="71"/>
        <v>0</v>
      </c>
      <c r="BI21" s="661">
        <f>'4 Myynti'!CL132</f>
        <v>0</v>
      </c>
      <c r="BJ21" s="662">
        <f t="shared" si="42"/>
        <v>0</v>
      </c>
      <c r="BK21" s="1591"/>
      <c r="BL21" s="1590"/>
      <c r="BM21" s="661">
        <f t="shared" si="72"/>
        <v>0</v>
      </c>
      <c r="BN21" s="662">
        <f>IF(BM21=0,0,BM21/$BM$25)</f>
        <v>0</v>
      </c>
      <c r="BO21" s="659">
        <f t="shared" si="74"/>
        <v>0</v>
      </c>
      <c r="BP21" s="660">
        <f t="shared" si="75"/>
        <v>0</v>
      </c>
      <c r="BQ21" s="1204">
        <f t="shared" si="76"/>
        <v>0</v>
      </c>
      <c r="BR21" s="662">
        <f t="shared" si="97"/>
        <v>0</v>
      </c>
      <c r="BS21" s="297"/>
      <c r="BT21" s="1364" t="s">
        <v>94</v>
      </c>
      <c r="BU21" s="663">
        <f>'3 Saalis'!V195</f>
        <v>0</v>
      </c>
      <c r="BV21" s="680">
        <f t="shared" si="77"/>
        <v>0</v>
      </c>
      <c r="BW21" s="661">
        <f>'4 Myynti'!CL155</f>
        <v>0</v>
      </c>
      <c r="BX21" s="662">
        <f t="shared" si="78"/>
        <v>0</v>
      </c>
      <c r="BY21" s="1591"/>
      <c r="BZ21" s="1590"/>
      <c r="CA21" s="661">
        <f t="shared" si="79"/>
        <v>0</v>
      </c>
      <c r="CB21" s="662">
        <f>IF(CA21=0,0,CA21/$CA$25)</f>
        <v>0</v>
      </c>
      <c r="CC21" s="659">
        <f t="shared" si="80"/>
        <v>0</v>
      </c>
      <c r="CD21" s="660">
        <f t="shared" si="81"/>
        <v>0</v>
      </c>
      <c r="CE21" s="1204">
        <f t="shared" si="101"/>
        <v>0</v>
      </c>
      <c r="CF21" s="662">
        <f t="shared" si="83"/>
        <v>0</v>
      </c>
      <c r="CG21"/>
      <c r="CH21" s="1364" t="s">
        <v>94</v>
      </c>
      <c r="CI21" s="663">
        <f t="shared" si="84"/>
        <v>0</v>
      </c>
      <c r="CJ21" s="682">
        <f>'4 Myynti'!AK17</f>
        <v>0</v>
      </c>
      <c r="CK21" s="661">
        <f t="shared" si="98"/>
        <v>0</v>
      </c>
      <c r="CL21" s="662">
        <f t="shared" si="85"/>
        <v>0</v>
      </c>
      <c r="CM21" s="659">
        <f t="shared" si="86"/>
        <v>0</v>
      </c>
      <c r="CN21" s="680">
        <f>IF(CM21=0,0,CO21/CM21)</f>
        <v>0</v>
      </c>
      <c r="CO21" s="661">
        <f t="shared" si="87"/>
        <v>0</v>
      </c>
      <c r="CP21" s="662">
        <f t="shared" si="88"/>
        <v>0</v>
      </c>
      <c r="CQ21" s="659">
        <f t="shared" si="89"/>
        <v>0</v>
      </c>
      <c r="CR21" s="660">
        <f t="shared" si="90"/>
        <v>0</v>
      </c>
      <c r="CS21" s="1204">
        <f t="shared" si="99"/>
        <v>0</v>
      </c>
      <c r="CT21" s="662">
        <f t="shared" si="91"/>
        <v>0</v>
      </c>
      <c r="CW21"/>
      <c r="CX21" s="88"/>
      <c r="CY21" s="88"/>
      <c r="CZ21" s="88"/>
      <c r="DA21"/>
      <c r="DB21" s="88"/>
      <c r="DC21" s="88"/>
      <c r="DD21" s="88"/>
      <c r="DE21"/>
      <c r="DF21" s="88"/>
      <c r="DG21" s="88"/>
      <c r="DH21" s="88"/>
      <c r="DI21"/>
      <c r="DJ21" s="88"/>
      <c r="DK21" s="88"/>
      <c r="DL21" s="88"/>
      <c r="DM21"/>
      <c r="DN21" s="88"/>
      <c r="DO21" s="88"/>
      <c r="DP21" s="88"/>
      <c r="DQ21"/>
      <c r="DR21" s="88"/>
      <c r="DS21" s="88"/>
      <c r="DT21" s="88"/>
      <c r="DU21"/>
      <c r="DV21" s="88"/>
      <c r="DW21" s="88"/>
      <c r="DX21" s="88"/>
      <c r="DY21"/>
      <c r="EN21" s="321"/>
      <c r="EO21" s="322"/>
      <c r="EP21" s="323"/>
      <c r="EQ21" s="322"/>
      <c r="ER21" s="297"/>
    </row>
    <row r="22" spans="2:150" s="208" customFormat="1" ht="13.5" thickBot="1" x14ac:dyDescent="0.25">
      <c r="B22" s="1365" t="s">
        <v>93</v>
      </c>
      <c r="C22" s="664">
        <f>'3 Saalis'!V86</f>
        <v>0</v>
      </c>
      <c r="D22" s="681">
        <f t="shared" si="44"/>
        <v>0</v>
      </c>
      <c r="E22" s="665">
        <f>'4 Myynti'!CL41</f>
        <v>0</v>
      </c>
      <c r="F22" s="662">
        <f t="shared" si="45"/>
        <v>0</v>
      </c>
      <c r="G22" s="1592"/>
      <c r="H22" s="1593"/>
      <c r="I22" s="661">
        <f t="shared" si="46"/>
        <v>0</v>
      </c>
      <c r="J22" s="662">
        <f t="shared" si="47"/>
        <v>0</v>
      </c>
      <c r="K22" s="670">
        <f t="shared" si="48"/>
        <v>0</v>
      </c>
      <c r="L22" s="671">
        <f t="shared" si="49"/>
        <v>0</v>
      </c>
      <c r="M22" s="1205">
        <f t="shared" si="50"/>
        <v>0</v>
      </c>
      <c r="N22" s="662">
        <f t="shared" si="51"/>
        <v>0</v>
      </c>
      <c r="P22" s="1365" t="s">
        <v>93</v>
      </c>
      <c r="Q22" s="664">
        <f>'3 Saalis'!V108</f>
        <v>0</v>
      </c>
      <c r="R22" s="681">
        <f t="shared" si="52"/>
        <v>0</v>
      </c>
      <c r="S22" s="665">
        <f>'4 Myynti'!CL64</f>
        <v>0</v>
      </c>
      <c r="T22" s="662">
        <f t="shared" si="53"/>
        <v>0</v>
      </c>
      <c r="U22" s="1592"/>
      <c r="V22" s="1593"/>
      <c r="W22" s="661">
        <f t="shared" si="54"/>
        <v>0</v>
      </c>
      <c r="X22" s="662">
        <f t="shared" si="55"/>
        <v>0</v>
      </c>
      <c r="Y22" s="670">
        <f t="shared" si="56"/>
        <v>0</v>
      </c>
      <c r="Z22" s="671">
        <f t="shared" si="57"/>
        <v>0</v>
      </c>
      <c r="AA22" s="1205">
        <f t="shared" si="58"/>
        <v>0</v>
      </c>
      <c r="AB22" s="662">
        <f t="shared" si="59"/>
        <v>0</v>
      </c>
      <c r="AD22" s="1365" t="s">
        <v>93</v>
      </c>
      <c r="AE22" s="664">
        <f>'3 Saalis'!V130</f>
        <v>0</v>
      </c>
      <c r="AF22" s="681">
        <f t="shared" si="92"/>
        <v>0</v>
      </c>
      <c r="AG22" s="665">
        <f>'4 Myynti'!CL87</f>
        <v>0</v>
      </c>
      <c r="AH22" s="662">
        <f t="shared" si="60"/>
        <v>0</v>
      </c>
      <c r="AI22" s="1592"/>
      <c r="AJ22" s="1593"/>
      <c r="AK22" s="661">
        <f t="shared" si="61"/>
        <v>0</v>
      </c>
      <c r="AL22" s="662">
        <f t="shared" si="41"/>
        <v>0</v>
      </c>
      <c r="AM22" s="670">
        <f t="shared" si="93"/>
        <v>0</v>
      </c>
      <c r="AN22" s="671">
        <f t="shared" si="62"/>
        <v>0</v>
      </c>
      <c r="AO22" s="1205">
        <f t="shared" si="63"/>
        <v>0</v>
      </c>
      <c r="AP22" s="662">
        <f t="shared" si="64"/>
        <v>0</v>
      </c>
      <c r="AR22" s="1365" t="s">
        <v>93</v>
      </c>
      <c r="AS22" s="664">
        <f>'3 Saalis'!V152</f>
        <v>0</v>
      </c>
      <c r="AT22" s="681">
        <f t="shared" si="65"/>
        <v>0</v>
      </c>
      <c r="AU22" s="665">
        <f>'4 Myynti'!CL110</f>
        <v>0</v>
      </c>
      <c r="AV22" s="662">
        <f t="shared" si="66"/>
        <v>0</v>
      </c>
      <c r="AW22" s="1592"/>
      <c r="AX22" s="1593"/>
      <c r="AY22" s="661">
        <f t="shared" si="67"/>
        <v>0</v>
      </c>
      <c r="AZ22" s="662">
        <f t="shared" si="68"/>
        <v>0</v>
      </c>
      <c r="BA22" s="670">
        <f t="shared" si="94"/>
        <v>0</v>
      </c>
      <c r="BB22" s="671">
        <f t="shared" si="69"/>
        <v>0</v>
      </c>
      <c r="BC22" s="1205">
        <f t="shared" si="70"/>
        <v>0</v>
      </c>
      <c r="BD22" s="662">
        <f t="shared" si="100"/>
        <v>0</v>
      </c>
      <c r="BE22" s="314"/>
      <c r="BF22" s="1365" t="s">
        <v>93</v>
      </c>
      <c r="BG22" s="664">
        <f>'3 Saalis'!V174</f>
        <v>0</v>
      </c>
      <c r="BH22" s="681">
        <f t="shared" si="71"/>
        <v>0</v>
      </c>
      <c r="BI22" s="665">
        <f>'4 Myynti'!CL133</f>
        <v>0</v>
      </c>
      <c r="BJ22" s="662">
        <f t="shared" si="42"/>
        <v>0</v>
      </c>
      <c r="BK22" s="1592"/>
      <c r="BL22" s="1593"/>
      <c r="BM22" s="661">
        <f t="shared" si="72"/>
        <v>0</v>
      </c>
      <c r="BN22" s="662">
        <f t="shared" si="73"/>
        <v>0</v>
      </c>
      <c r="BO22" s="670">
        <f t="shared" si="74"/>
        <v>0</v>
      </c>
      <c r="BP22" s="671">
        <f t="shared" si="75"/>
        <v>0</v>
      </c>
      <c r="BQ22" s="1205">
        <f t="shared" si="76"/>
        <v>0</v>
      </c>
      <c r="BR22" s="662">
        <f t="shared" si="97"/>
        <v>0</v>
      </c>
      <c r="BS22" s="297"/>
      <c r="BT22" s="1365" t="s">
        <v>93</v>
      </c>
      <c r="BU22" s="664">
        <f>'3 Saalis'!V196</f>
        <v>0</v>
      </c>
      <c r="BV22" s="681">
        <f t="shared" si="77"/>
        <v>0</v>
      </c>
      <c r="BW22" s="665">
        <f>'4 Myynti'!CL156</f>
        <v>0</v>
      </c>
      <c r="BX22" s="662">
        <f t="shared" si="78"/>
        <v>0</v>
      </c>
      <c r="BY22" s="1592"/>
      <c r="BZ22" s="1593"/>
      <c r="CA22" s="661">
        <f t="shared" si="79"/>
        <v>0</v>
      </c>
      <c r="CB22" s="662">
        <f t="shared" si="95"/>
        <v>0</v>
      </c>
      <c r="CC22" s="670">
        <f t="shared" si="80"/>
        <v>0</v>
      </c>
      <c r="CD22" s="671">
        <f t="shared" si="81"/>
        <v>0</v>
      </c>
      <c r="CE22" s="1205">
        <f t="shared" si="101"/>
        <v>0</v>
      </c>
      <c r="CF22" s="662">
        <f t="shared" si="83"/>
        <v>0</v>
      </c>
      <c r="CG22"/>
      <c r="CH22" s="1365" t="s">
        <v>93</v>
      </c>
      <c r="CI22" s="664">
        <f t="shared" si="84"/>
        <v>0</v>
      </c>
      <c r="CJ22" s="683">
        <f>'4 Myynti'!AK18</f>
        <v>0</v>
      </c>
      <c r="CK22" s="665">
        <f>CI22*CJ22</f>
        <v>0</v>
      </c>
      <c r="CL22" s="662">
        <f t="shared" si="85"/>
        <v>0</v>
      </c>
      <c r="CM22" s="659">
        <f t="shared" si="86"/>
        <v>0</v>
      </c>
      <c r="CN22" s="684">
        <f t="shared" si="96"/>
        <v>0</v>
      </c>
      <c r="CO22" s="661">
        <f t="shared" si="87"/>
        <v>0</v>
      </c>
      <c r="CP22" s="662">
        <f t="shared" si="88"/>
        <v>0</v>
      </c>
      <c r="CQ22" s="670">
        <f t="shared" si="89"/>
        <v>0</v>
      </c>
      <c r="CR22" s="671">
        <f t="shared" si="90"/>
        <v>0</v>
      </c>
      <c r="CS22" s="1205">
        <f t="shared" si="99"/>
        <v>0</v>
      </c>
      <c r="CT22" s="662">
        <f t="shared" si="91"/>
        <v>0</v>
      </c>
      <c r="CW22" s="5" t="s">
        <v>260</v>
      </c>
      <c r="CX22" s="270" t="s">
        <v>1</v>
      </c>
      <c r="CY22" s="271" t="s">
        <v>261</v>
      </c>
      <c r="CZ22" s="271"/>
      <c r="DA22" s="19"/>
      <c r="DB22" s="270" t="s">
        <v>1</v>
      </c>
      <c r="DC22" s="271" t="str">
        <f>DC6</f>
        <v>Verkko1</v>
      </c>
      <c r="DD22" s="271"/>
      <c r="DE22" s="19"/>
      <c r="DF22" s="270" t="s">
        <v>1</v>
      </c>
      <c r="DG22" s="271" t="str">
        <f>DG6</f>
        <v>Verkko2</v>
      </c>
      <c r="DH22" s="271"/>
      <c r="DI22" s="19"/>
      <c r="DJ22" s="270" t="s">
        <v>1</v>
      </c>
      <c r="DK22" s="271" t="str">
        <f>DK6</f>
        <v>Isorysä1</v>
      </c>
      <c r="DL22" s="271"/>
      <c r="DM22" s="19"/>
      <c r="DN22" s="270" t="s">
        <v>1</v>
      </c>
      <c r="DO22" s="271" t="str">
        <f>DO6</f>
        <v>Isorysä2</v>
      </c>
      <c r="DP22" s="271"/>
      <c r="DQ22" s="19"/>
      <c r="DR22" s="270" t="s">
        <v>1</v>
      </c>
      <c r="DS22" s="271" t="str">
        <f>DS6</f>
        <v>PU-rysä1</v>
      </c>
      <c r="DT22" s="271"/>
      <c r="DU22" s="19"/>
      <c r="DV22" s="270" t="s">
        <v>1</v>
      </c>
      <c r="DW22" s="271" t="str">
        <f>DW6</f>
        <v>PU-rysä2</v>
      </c>
      <c r="DX22" s="271"/>
      <c r="DY22" s="213"/>
      <c r="EN22" s="321"/>
      <c r="EO22" s="322"/>
      <c r="EP22" s="323"/>
      <c r="EQ22" s="322"/>
      <c r="ER22" s="297"/>
    </row>
    <row r="23" spans="2:150" ht="13.5" thickBot="1" x14ac:dyDescent="0.25">
      <c r="B23" s="93" t="s">
        <v>245</v>
      </c>
      <c r="C23" s="461">
        <f>'3 Saalis'!V87</f>
        <v>0</v>
      </c>
      <c r="D23" s="667">
        <f t="shared" si="44"/>
        <v>0</v>
      </c>
      <c r="E23" s="653">
        <f>'4 Myynti'!CL42</f>
        <v>0</v>
      </c>
      <c r="F23" s="668">
        <f t="shared" si="45"/>
        <v>0</v>
      </c>
      <c r="G23" s="487">
        <f>SUM(G11:G22)</f>
        <v>0</v>
      </c>
      <c r="H23" s="667">
        <f>IF(G23=0,0,I23/G23)</f>
        <v>0</v>
      </c>
      <c r="I23" s="653">
        <f>SUM(I11:I22)</f>
        <v>0</v>
      </c>
      <c r="J23" s="668">
        <f t="shared" si="47"/>
        <v>0</v>
      </c>
      <c r="K23" s="461">
        <f>G23-C23</f>
        <v>0</v>
      </c>
      <c r="L23" s="667">
        <f t="shared" si="49"/>
        <v>0</v>
      </c>
      <c r="M23" s="653">
        <f t="shared" si="50"/>
        <v>0</v>
      </c>
      <c r="N23" s="668">
        <f t="shared" si="51"/>
        <v>0</v>
      </c>
      <c r="P23" s="93" t="s">
        <v>245</v>
      </c>
      <c r="Q23" s="461">
        <f>'3 Saalis'!V109</f>
        <v>0</v>
      </c>
      <c r="R23" s="667">
        <f t="shared" si="52"/>
        <v>0</v>
      </c>
      <c r="S23" s="653">
        <f>'4 Myynti'!CL65</f>
        <v>0</v>
      </c>
      <c r="T23" s="668">
        <f t="shared" si="53"/>
        <v>0</v>
      </c>
      <c r="U23" s="487">
        <f>SUM(U11:U22)</f>
        <v>0</v>
      </c>
      <c r="V23" s="667">
        <f>IF(U23=0,0,W23/U23)</f>
        <v>0</v>
      </c>
      <c r="W23" s="653">
        <f>SUM(W11:W22)</f>
        <v>0</v>
      </c>
      <c r="X23" s="668">
        <f t="shared" si="55"/>
        <v>0</v>
      </c>
      <c r="Y23" s="461">
        <f t="shared" si="56"/>
        <v>0</v>
      </c>
      <c r="Z23" s="667">
        <f t="shared" si="57"/>
        <v>0</v>
      </c>
      <c r="AA23" s="653">
        <f t="shared" si="58"/>
        <v>0</v>
      </c>
      <c r="AB23" s="668">
        <f t="shared" si="59"/>
        <v>0</v>
      </c>
      <c r="AD23" s="93" t="s">
        <v>245</v>
      </c>
      <c r="AE23" s="461">
        <f>'3 Saalis'!V131</f>
        <v>0</v>
      </c>
      <c r="AF23" s="667">
        <f>IF(AE23=0,0,AG23/AE23)</f>
        <v>0</v>
      </c>
      <c r="AG23" s="653">
        <f>'4 Myynti'!CL88</f>
        <v>0</v>
      </c>
      <c r="AH23" s="668">
        <f t="shared" si="60"/>
        <v>0</v>
      </c>
      <c r="AI23" s="487">
        <f>SUM(AI11:AI22)</f>
        <v>0</v>
      </c>
      <c r="AJ23" s="667">
        <f>IF(AI23=0,0,AK23/AI23)</f>
        <v>0</v>
      </c>
      <c r="AK23" s="653">
        <f>SUM(AK11:AK22)</f>
        <v>0</v>
      </c>
      <c r="AL23" s="668">
        <f>IF(AK23=0,0,AK23/$AK$25)</f>
        <v>0</v>
      </c>
      <c r="AM23" s="461">
        <f t="shared" si="93"/>
        <v>0</v>
      </c>
      <c r="AN23" s="667">
        <f t="shared" si="62"/>
        <v>0</v>
      </c>
      <c r="AO23" s="653">
        <f>AK23-AG23</f>
        <v>0</v>
      </c>
      <c r="AP23" s="668">
        <f t="shared" si="64"/>
        <v>0</v>
      </c>
      <c r="AR23" s="93" t="s">
        <v>245</v>
      </c>
      <c r="AS23" s="461">
        <f>'3 Saalis'!V153</f>
        <v>0</v>
      </c>
      <c r="AT23" s="667">
        <f t="shared" si="65"/>
        <v>0</v>
      </c>
      <c r="AU23" s="653">
        <f>'4 Myynti'!CL111</f>
        <v>0</v>
      </c>
      <c r="AV23" s="668">
        <f t="shared" si="66"/>
        <v>0</v>
      </c>
      <c r="AW23" s="487">
        <f>SUM(AW11:AW22)</f>
        <v>0</v>
      </c>
      <c r="AX23" s="667">
        <f>IF(AW23=0,0,AY23/AW23)</f>
        <v>0</v>
      </c>
      <c r="AY23" s="653">
        <f>SUM(AY11:AY22)</f>
        <v>0</v>
      </c>
      <c r="AZ23" s="668">
        <f t="shared" si="68"/>
        <v>0</v>
      </c>
      <c r="BA23" s="461">
        <f t="shared" si="94"/>
        <v>0</v>
      </c>
      <c r="BB23" s="667">
        <f t="shared" si="69"/>
        <v>0</v>
      </c>
      <c r="BC23" s="653">
        <f>AY23-AU23</f>
        <v>0</v>
      </c>
      <c r="BD23" s="668">
        <f>IF(BC23=0,0,BC23/AU23)</f>
        <v>0</v>
      </c>
      <c r="BE23" s="314"/>
      <c r="BF23" s="93" t="s">
        <v>245</v>
      </c>
      <c r="BG23" s="461">
        <f>'3 Saalis'!V175</f>
        <v>0</v>
      </c>
      <c r="BH23" s="667">
        <f t="shared" si="71"/>
        <v>0</v>
      </c>
      <c r="BI23" s="653">
        <f>'4 Myynti'!CL134</f>
        <v>0</v>
      </c>
      <c r="BJ23" s="668">
        <f>IF(BI23=0,0,BI23/$BI$25)</f>
        <v>0</v>
      </c>
      <c r="BK23" s="487">
        <f>SUM(BK11:BK22)</f>
        <v>0</v>
      </c>
      <c r="BL23" s="667">
        <f>IF(BK23=0,0,BM23/BK23)</f>
        <v>0</v>
      </c>
      <c r="BM23" s="653">
        <f>SUM(BM11:BM22)</f>
        <v>0</v>
      </c>
      <c r="BN23" s="668">
        <f t="shared" si="73"/>
        <v>0</v>
      </c>
      <c r="BO23" s="461">
        <f t="shared" si="74"/>
        <v>0</v>
      </c>
      <c r="BP23" s="667">
        <f t="shared" si="75"/>
        <v>0</v>
      </c>
      <c r="BQ23" s="653">
        <f t="shared" si="76"/>
        <v>0</v>
      </c>
      <c r="BR23" s="668">
        <f t="shared" si="97"/>
        <v>0</v>
      </c>
      <c r="BS23" s="297"/>
      <c r="BT23" s="93" t="s">
        <v>245</v>
      </c>
      <c r="BU23" s="461">
        <f>'3 Saalis'!V197</f>
        <v>0</v>
      </c>
      <c r="BV23" s="667">
        <f t="shared" si="77"/>
        <v>0</v>
      </c>
      <c r="BW23" s="653">
        <f>'4 Myynti'!CL157</f>
        <v>0</v>
      </c>
      <c r="BX23" s="668">
        <f t="shared" si="78"/>
        <v>0</v>
      </c>
      <c r="BY23" s="487">
        <f>SUM(BY11:BY22)</f>
        <v>0</v>
      </c>
      <c r="BZ23" s="667">
        <f>IF(BY23=0,0,CA23/BY23)</f>
        <v>0</v>
      </c>
      <c r="CA23" s="653">
        <f>SUM(CA11:CA22)</f>
        <v>0</v>
      </c>
      <c r="CB23" s="668">
        <f t="shared" si="95"/>
        <v>0</v>
      </c>
      <c r="CC23" s="461">
        <f>BY23-BU23</f>
        <v>0</v>
      </c>
      <c r="CD23" s="667">
        <f>BZ23-BV23</f>
        <v>0</v>
      </c>
      <c r="CE23" s="653">
        <f t="shared" si="101"/>
        <v>0</v>
      </c>
      <c r="CF23" s="668">
        <f t="shared" si="83"/>
        <v>0</v>
      </c>
      <c r="CH23" s="93" t="s">
        <v>245</v>
      </c>
      <c r="CI23" s="461">
        <f>C23+Q23+AE23+AS23+BG23+BU23</f>
        <v>0</v>
      </c>
      <c r="CJ23" s="667">
        <f>'4 Myynti'!AK19</f>
        <v>0</v>
      </c>
      <c r="CK23" s="653">
        <f>SUM(CK11:CK22)</f>
        <v>0</v>
      </c>
      <c r="CL23" s="668">
        <f>IF(CK23=0,0,CK23/$CK$25)</f>
        <v>0</v>
      </c>
      <c r="CM23" s="818">
        <f>G23+U23+AI23+AW23+BK23+BY23</f>
        <v>0</v>
      </c>
      <c r="CN23" s="667">
        <f>IF(CM23=0,0,CO23/CM23)</f>
        <v>0</v>
      </c>
      <c r="CO23" s="653">
        <f>I23+W23+AK23+AY23+BM23+CA23</f>
        <v>0</v>
      </c>
      <c r="CP23" s="668">
        <f t="shared" si="88"/>
        <v>0</v>
      </c>
      <c r="CQ23" s="423">
        <f t="shared" si="89"/>
        <v>0</v>
      </c>
      <c r="CR23" s="667">
        <f t="shared" si="90"/>
        <v>0</v>
      </c>
      <c r="CS23" s="653">
        <f>CO23-CK23</f>
        <v>0</v>
      </c>
      <c r="CT23" s="668">
        <f t="shared" si="91"/>
        <v>0</v>
      </c>
      <c r="CW23" s="12" t="s">
        <v>1</v>
      </c>
      <c r="CX23" s="272" t="s">
        <v>256</v>
      </c>
      <c r="CY23" s="273" t="s">
        <v>257</v>
      </c>
      <c r="CZ23" s="273" t="s">
        <v>259</v>
      </c>
      <c r="DA23" s="820" t="s">
        <v>215</v>
      </c>
      <c r="DB23" s="272" t="s">
        <v>256</v>
      </c>
      <c r="DC23" s="273" t="s">
        <v>257</v>
      </c>
      <c r="DD23" s="273" t="s">
        <v>259</v>
      </c>
      <c r="DE23" s="236" t="s">
        <v>215</v>
      </c>
      <c r="DF23" s="272" t="s">
        <v>256</v>
      </c>
      <c r="DG23" s="273" t="s">
        <v>257</v>
      </c>
      <c r="DH23" s="273" t="s">
        <v>259</v>
      </c>
      <c r="DI23" s="236" t="s">
        <v>215</v>
      </c>
      <c r="DJ23" s="272" t="s">
        <v>256</v>
      </c>
      <c r="DK23" s="273" t="s">
        <v>257</v>
      </c>
      <c r="DL23" s="273" t="s">
        <v>259</v>
      </c>
      <c r="DM23" s="236" t="s">
        <v>215</v>
      </c>
      <c r="DN23" s="272" t="s">
        <v>256</v>
      </c>
      <c r="DO23" s="273" t="s">
        <v>257</v>
      </c>
      <c r="DP23" s="273" t="s">
        <v>259</v>
      </c>
      <c r="DQ23" s="236" t="s">
        <v>215</v>
      </c>
      <c r="DR23" s="272" t="s">
        <v>256</v>
      </c>
      <c r="DS23" s="273" t="s">
        <v>257</v>
      </c>
      <c r="DT23" s="273" t="s">
        <v>259</v>
      </c>
      <c r="DU23" s="236" t="s">
        <v>215</v>
      </c>
      <c r="DV23" s="272" t="s">
        <v>256</v>
      </c>
      <c r="DW23" s="273" t="s">
        <v>257</v>
      </c>
      <c r="DX23" s="273" t="s">
        <v>259</v>
      </c>
      <c r="DY23" s="236" t="s">
        <v>215</v>
      </c>
      <c r="EN23" s="319"/>
      <c r="EO23" s="257"/>
      <c r="EP23" s="324"/>
      <c r="EQ23" s="87"/>
      <c r="ER23" s="297"/>
    </row>
    <row r="24" spans="2:150" ht="13.5" thickBot="1" x14ac:dyDescent="0.25">
      <c r="B24" s="91" t="s">
        <v>220</v>
      </c>
      <c r="C24" s="158"/>
      <c r="D24" s="10"/>
      <c r="E24" s="647">
        <f>'8 Taloudellinen tulos'!E9</f>
        <v>0</v>
      </c>
      <c r="F24" s="668">
        <f t="shared" si="45"/>
        <v>0</v>
      </c>
      <c r="G24" s="19"/>
      <c r="H24" s="10"/>
      <c r="I24" s="1594"/>
      <c r="J24" s="668">
        <f t="shared" si="47"/>
        <v>0</v>
      </c>
      <c r="K24" s="3"/>
      <c r="L24" s="10"/>
      <c r="M24" s="1206">
        <f t="shared" si="50"/>
        <v>0</v>
      </c>
      <c r="N24" s="668">
        <f t="shared" si="51"/>
        <v>0</v>
      </c>
      <c r="P24" s="91" t="s">
        <v>220</v>
      </c>
      <c r="Q24" s="158"/>
      <c r="R24" s="10"/>
      <c r="S24" s="647">
        <f>'8 Taloudellinen tulos'!G9</f>
        <v>0</v>
      </c>
      <c r="T24" s="668">
        <f t="shared" si="53"/>
        <v>0</v>
      </c>
      <c r="U24" s="19"/>
      <c r="V24" s="10"/>
      <c r="W24" s="1594"/>
      <c r="X24" s="668">
        <f t="shared" si="55"/>
        <v>0</v>
      </c>
      <c r="Y24" s="3"/>
      <c r="Z24" s="10"/>
      <c r="AA24" s="1206">
        <f t="shared" si="58"/>
        <v>0</v>
      </c>
      <c r="AB24" s="668">
        <f t="shared" si="59"/>
        <v>0</v>
      </c>
      <c r="AD24" s="91" t="s">
        <v>220</v>
      </c>
      <c r="AE24" s="158"/>
      <c r="AF24" s="10"/>
      <c r="AG24" s="647">
        <f>'8 Taloudellinen tulos'!I9</f>
        <v>0</v>
      </c>
      <c r="AH24" s="668">
        <f t="shared" si="60"/>
        <v>0</v>
      </c>
      <c r="AI24" s="19"/>
      <c r="AJ24" s="10"/>
      <c r="AK24" s="1594"/>
      <c r="AL24" s="668">
        <f>IF(AK24=0,0,AK24/$AK$25)</f>
        <v>0</v>
      </c>
      <c r="AM24" s="3"/>
      <c r="AN24" s="10"/>
      <c r="AO24" s="1206">
        <f>AK24-AG24</f>
        <v>0</v>
      </c>
      <c r="AP24" s="668">
        <f t="shared" si="64"/>
        <v>0</v>
      </c>
      <c r="AR24" s="91" t="s">
        <v>220</v>
      </c>
      <c r="AS24" s="158"/>
      <c r="AT24" s="10"/>
      <c r="AU24" s="647">
        <f>'8 Taloudellinen tulos'!K9</f>
        <v>0</v>
      </c>
      <c r="AV24" s="668">
        <f t="shared" si="66"/>
        <v>0</v>
      </c>
      <c r="AW24" s="19"/>
      <c r="AX24" s="10"/>
      <c r="AY24" s="1594"/>
      <c r="AZ24" s="668">
        <f t="shared" si="68"/>
        <v>0</v>
      </c>
      <c r="BA24" s="3"/>
      <c r="BB24" s="10"/>
      <c r="BC24" s="1206">
        <f>AY24-AU24</f>
        <v>0</v>
      </c>
      <c r="BD24" s="668">
        <f>IF(BC24=0,0,BC24/AU24)</f>
        <v>0</v>
      </c>
      <c r="BE24" s="314"/>
      <c r="BF24" s="91" t="s">
        <v>220</v>
      </c>
      <c r="BG24" s="158"/>
      <c r="BH24" s="10"/>
      <c r="BI24" s="647">
        <f>'8 Taloudellinen tulos'!M9</f>
        <v>0</v>
      </c>
      <c r="BJ24" s="668">
        <f t="shared" si="42"/>
        <v>0</v>
      </c>
      <c r="BK24" s="19"/>
      <c r="BL24" s="10"/>
      <c r="BM24" s="1594"/>
      <c r="BN24" s="668">
        <f t="shared" si="73"/>
        <v>0</v>
      </c>
      <c r="BO24" s="3"/>
      <c r="BP24" s="10"/>
      <c r="BQ24" s="1206">
        <f t="shared" si="76"/>
        <v>0</v>
      </c>
      <c r="BR24" s="668">
        <f>IF(BQ24=0,0,BQ24/BI24)</f>
        <v>0</v>
      </c>
      <c r="BS24" s="297"/>
      <c r="BT24" s="91" t="s">
        <v>220</v>
      </c>
      <c r="BU24" s="158"/>
      <c r="BV24" s="10"/>
      <c r="BW24" s="647">
        <f>'8 Taloudellinen tulos'!O9</f>
        <v>0</v>
      </c>
      <c r="BX24" s="668">
        <f t="shared" si="78"/>
        <v>0</v>
      </c>
      <c r="BY24" s="19"/>
      <c r="BZ24" s="10"/>
      <c r="CA24" s="1594"/>
      <c r="CB24" s="668">
        <f t="shared" si="95"/>
        <v>0</v>
      </c>
      <c r="CC24" s="3"/>
      <c r="CD24" s="10"/>
      <c r="CE24" s="1206">
        <f t="shared" si="101"/>
        <v>0</v>
      </c>
      <c r="CF24" s="668">
        <f t="shared" si="83"/>
        <v>0</v>
      </c>
      <c r="CH24" s="91" t="s">
        <v>220</v>
      </c>
      <c r="CI24" s="158"/>
      <c r="CJ24" s="10"/>
      <c r="CK24" s="647">
        <f>'8 Taloudellinen tulos'!C9</f>
        <v>0</v>
      </c>
      <c r="CL24" s="668">
        <f t="shared" si="85"/>
        <v>0</v>
      </c>
      <c r="CM24" s="19"/>
      <c r="CN24" s="10"/>
      <c r="CO24" s="647">
        <f>I24+W24+AK24+AY24+BM24+CA24</f>
        <v>0</v>
      </c>
      <c r="CP24" s="668">
        <f t="shared" si="88"/>
        <v>0</v>
      </c>
      <c r="CQ24" s="3"/>
      <c r="CR24" s="10"/>
      <c r="CS24" s="1206">
        <f>CO24-CK24</f>
        <v>0</v>
      </c>
      <c r="CT24" s="668">
        <f t="shared" si="91"/>
        <v>0</v>
      </c>
      <c r="CW24" s="412" t="s">
        <v>223</v>
      </c>
      <c r="CX24" s="688">
        <f>CK41</f>
        <v>0</v>
      </c>
      <c r="CY24" s="689">
        <f>CO41</f>
        <v>0</v>
      </c>
      <c r="CZ24" s="600">
        <f>CY24-CX24</f>
        <v>0</v>
      </c>
      <c r="DA24" s="469">
        <f>IF(CZ24=0,0,CZ24/CX24)</f>
        <v>0</v>
      </c>
      <c r="DB24" s="688">
        <f>E41</f>
        <v>0</v>
      </c>
      <c r="DC24" s="689">
        <f>I41</f>
        <v>0</v>
      </c>
      <c r="DD24" s="600">
        <f>DC24-DB24</f>
        <v>0</v>
      </c>
      <c r="DE24" s="469">
        <f>IF(DD24=0,0,DD24/DB24)</f>
        <v>0</v>
      </c>
      <c r="DF24" s="688">
        <f>S41</f>
        <v>0</v>
      </c>
      <c r="DG24" s="689">
        <f>W41</f>
        <v>0</v>
      </c>
      <c r="DH24" s="600">
        <f>DG24-DF24</f>
        <v>0</v>
      </c>
      <c r="DI24" s="469">
        <f>IF(DH24=0,0,DH24/DF24)</f>
        <v>0</v>
      </c>
      <c r="DJ24" s="688">
        <f>AG41</f>
        <v>0</v>
      </c>
      <c r="DK24" s="689">
        <f>AK41</f>
        <v>0</v>
      </c>
      <c r="DL24" s="600">
        <f>DK24-DJ24</f>
        <v>0</v>
      </c>
      <c r="DM24" s="469">
        <f>IF(DL24=0,0,DL24/DJ24)</f>
        <v>0</v>
      </c>
      <c r="DN24" s="688">
        <f>AU41</f>
        <v>0</v>
      </c>
      <c r="DO24" s="689">
        <f>AY41</f>
        <v>0</v>
      </c>
      <c r="DP24" s="600">
        <f>DO24-DN24</f>
        <v>0</v>
      </c>
      <c r="DQ24" s="469">
        <f>IF(DP24=0,0,DP24/DN24)</f>
        <v>0</v>
      </c>
      <c r="DR24" s="688">
        <f>BI41</f>
        <v>0</v>
      </c>
      <c r="DS24" s="689">
        <f>BM41</f>
        <v>0</v>
      </c>
      <c r="DT24" s="600">
        <f>DS24-DR24</f>
        <v>0</v>
      </c>
      <c r="DU24" s="469">
        <f>IF(DT24=0,0,DT24/DR24)</f>
        <v>0</v>
      </c>
      <c r="DV24" s="688">
        <f>BW41</f>
        <v>0</v>
      </c>
      <c r="DW24" s="689">
        <f>CA41</f>
        <v>0</v>
      </c>
      <c r="DX24" s="600">
        <f>DW24-DV24</f>
        <v>0</v>
      </c>
      <c r="DY24" s="469">
        <f>IF(DX24=0,0,DX24/DV24)</f>
        <v>0</v>
      </c>
      <c r="EN24" s="319"/>
      <c r="EQ24" s="27"/>
      <c r="ER24" s="297"/>
    </row>
    <row r="25" spans="2:150" ht="13.5" thickBot="1" x14ac:dyDescent="0.25">
      <c r="B25" s="5" t="s">
        <v>219</v>
      </c>
      <c r="C25" s="158"/>
      <c r="D25" s="6"/>
      <c r="E25" s="653">
        <f>E23+E24</f>
        <v>0</v>
      </c>
      <c r="F25" s="668">
        <f t="shared" si="45"/>
        <v>0</v>
      </c>
      <c r="G25" s="18"/>
      <c r="H25" s="10"/>
      <c r="I25" s="653">
        <f>I23+I24</f>
        <v>0</v>
      </c>
      <c r="J25" s="669">
        <f t="shared" si="47"/>
        <v>0</v>
      </c>
      <c r="K25" s="200"/>
      <c r="L25" s="18"/>
      <c r="M25" s="653">
        <f t="shared" si="50"/>
        <v>0</v>
      </c>
      <c r="N25" s="668">
        <f t="shared" si="51"/>
        <v>0</v>
      </c>
      <c r="P25" s="5" t="s">
        <v>219</v>
      </c>
      <c r="Q25" s="158"/>
      <c r="R25" s="6"/>
      <c r="S25" s="653">
        <f>S23+S24</f>
        <v>0</v>
      </c>
      <c r="T25" s="668">
        <f t="shared" si="53"/>
        <v>0</v>
      </c>
      <c r="U25" s="18"/>
      <c r="V25" s="10"/>
      <c r="W25" s="653">
        <f>W23+W24</f>
        <v>0</v>
      </c>
      <c r="X25" s="669">
        <f t="shared" si="55"/>
        <v>0</v>
      </c>
      <c r="Y25" s="200"/>
      <c r="Z25" s="18"/>
      <c r="AA25" s="653">
        <f t="shared" si="58"/>
        <v>0</v>
      </c>
      <c r="AB25" s="668">
        <f t="shared" si="59"/>
        <v>0</v>
      </c>
      <c r="AD25" s="5" t="s">
        <v>219</v>
      </c>
      <c r="AE25" s="158"/>
      <c r="AF25" s="6"/>
      <c r="AG25" s="653">
        <f>AG23+AG24</f>
        <v>0</v>
      </c>
      <c r="AH25" s="668">
        <f t="shared" si="60"/>
        <v>0</v>
      </c>
      <c r="AI25" s="18"/>
      <c r="AJ25" s="10"/>
      <c r="AK25" s="653">
        <f>AK23+AK24</f>
        <v>0</v>
      </c>
      <c r="AL25" s="669">
        <f t="shared" si="41"/>
        <v>0</v>
      </c>
      <c r="AM25" s="200"/>
      <c r="AN25" s="18"/>
      <c r="AO25" s="653">
        <f>AK25-AG25</f>
        <v>0</v>
      </c>
      <c r="AP25" s="668">
        <f t="shared" si="64"/>
        <v>0</v>
      </c>
      <c r="AR25" s="5" t="s">
        <v>219</v>
      </c>
      <c r="AS25" s="158"/>
      <c r="AT25" s="6"/>
      <c r="AU25" s="653">
        <f>AU23+AU24</f>
        <v>0</v>
      </c>
      <c r="AV25" s="668">
        <f t="shared" si="66"/>
        <v>0</v>
      </c>
      <c r="AW25" s="18"/>
      <c r="AX25" s="10"/>
      <c r="AY25" s="653">
        <f>AY23+AY24</f>
        <v>0</v>
      </c>
      <c r="AZ25" s="669">
        <f t="shared" si="68"/>
        <v>0</v>
      </c>
      <c r="BA25" s="200"/>
      <c r="BB25" s="18"/>
      <c r="BC25" s="653">
        <f>AY25-AU25</f>
        <v>0</v>
      </c>
      <c r="BD25" s="668">
        <f>IF(BC25=0,0,BC25/AU25)</f>
        <v>0</v>
      </c>
      <c r="BE25" s="314"/>
      <c r="BF25" s="5" t="s">
        <v>219</v>
      </c>
      <c r="BG25" s="158"/>
      <c r="BH25" s="6"/>
      <c r="BI25" s="653">
        <f>BI23+BI24</f>
        <v>0</v>
      </c>
      <c r="BJ25" s="668">
        <f>IF(BI25=0,0,BI25/$BI$25)</f>
        <v>0</v>
      </c>
      <c r="BK25" s="18"/>
      <c r="BL25" s="10"/>
      <c r="BM25" s="653">
        <f>BM23+BM24</f>
        <v>0</v>
      </c>
      <c r="BN25" s="669">
        <f t="shared" si="73"/>
        <v>0</v>
      </c>
      <c r="BO25" s="200"/>
      <c r="BP25" s="18"/>
      <c r="BQ25" s="653">
        <f t="shared" si="76"/>
        <v>0</v>
      </c>
      <c r="BR25" s="668">
        <f>IF(BQ25=0,0,BQ25/BI25)</f>
        <v>0</v>
      </c>
      <c r="BS25" s="297"/>
      <c r="BT25" s="5" t="s">
        <v>219</v>
      </c>
      <c r="BU25" s="158"/>
      <c r="BV25" s="6"/>
      <c r="BW25" s="653">
        <f>BW23+BW24</f>
        <v>0</v>
      </c>
      <c r="BX25" s="668">
        <f t="shared" si="78"/>
        <v>0</v>
      </c>
      <c r="BY25" s="18"/>
      <c r="BZ25" s="10"/>
      <c r="CA25" s="653">
        <f>CA23+CA24</f>
        <v>0</v>
      </c>
      <c r="CB25" s="669">
        <f t="shared" si="95"/>
        <v>0</v>
      </c>
      <c r="CC25" s="200"/>
      <c r="CD25" s="18"/>
      <c r="CE25" s="653">
        <f t="shared" si="101"/>
        <v>0</v>
      </c>
      <c r="CF25" s="668">
        <f t="shared" si="83"/>
        <v>0</v>
      </c>
      <c r="CH25" s="5" t="s">
        <v>219</v>
      </c>
      <c r="CI25" s="158"/>
      <c r="CJ25" s="6"/>
      <c r="CK25" s="653">
        <f>CK23+CK24</f>
        <v>0</v>
      </c>
      <c r="CL25" s="668">
        <f t="shared" si="85"/>
        <v>0</v>
      </c>
      <c r="CM25" s="18"/>
      <c r="CN25" s="10"/>
      <c r="CO25" s="653">
        <f>CO23+CO24</f>
        <v>0</v>
      </c>
      <c r="CP25" s="669">
        <f t="shared" si="88"/>
        <v>0</v>
      </c>
      <c r="CQ25" s="200"/>
      <c r="CR25" s="18"/>
      <c r="CS25" s="653">
        <f>CO25-CK25</f>
        <v>0</v>
      </c>
      <c r="CT25" s="668">
        <f t="shared" si="91"/>
        <v>0</v>
      </c>
      <c r="CW25" s="231" t="s">
        <v>225</v>
      </c>
      <c r="CX25" s="637">
        <f>CK49</f>
        <v>0</v>
      </c>
      <c r="CY25" s="638">
        <f>CO49</f>
        <v>0</v>
      </c>
      <c r="CZ25" s="638">
        <f>CY25-CX25</f>
        <v>0</v>
      </c>
      <c r="DA25" s="1158">
        <f>IF(CZ25=0,0,CZ25/CX25)</f>
        <v>0</v>
      </c>
      <c r="DB25" s="637">
        <f>E49</f>
        <v>0</v>
      </c>
      <c r="DC25" s="638">
        <f>I49</f>
        <v>0</v>
      </c>
      <c r="DD25" s="638">
        <f>DC25-DB25</f>
        <v>0</v>
      </c>
      <c r="DE25" s="1158">
        <f>IF(DD25=0,0,DD25/DB25)</f>
        <v>0</v>
      </c>
      <c r="DF25" s="637">
        <f>S49</f>
        <v>0</v>
      </c>
      <c r="DG25" s="638">
        <f>W49</f>
        <v>0</v>
      </c>
      <c r="DH25" s="638">
        <f>DG25-DF25</f>
        <v>0</v>
      </c>
      <c r="DI25" s="1158">
        <f>IF(DH25=0,0,DH25/DF25)</f>
        <v>0</v>
      </c>
      <c r="DJ25" s="637">
        <f>AG49</f>
        <v>0</v>
      </c>
      <c r="DK25" s="638">
        <f>AK49</f>
        <v>0</v>
      </c>
      <c r="DL25" s="638">
        <f>DK25-DJ25</f>
        <v>0</v>
      </c>
      <c r="DM25" s="1158">
        <f>IF(DL25=0,0,DL25/DJ25)</f>
        <v>0</v>
      </c>
      <c r="DN25" s="637">
        <f>AU49</f>
        <v>0</v>
      </c>
      <c r="DO25" s="638">
        <f>AY49</f>
        <v>0</v>
      </c>
      <c r="DP25" s="638">
        <f>DO25-DN25</f>
        <v>0</v>
      </c>
      <c r="DQ25" s="1158">
        <f>IF(DP25=0,0,DP25/DN25)</f>
        <v>0</v>
      </c>
      <c r="DR25" s="637">
        <f>BI49</f>
        <v>0</v>
      </c>
      <c r="DS25" s="638">
        <f>BM49</f>
        <v>0</v>
      </c>
      <c r="DT25" s="638">
        <f>DS25-DR25</f>
        <v>0</v>
      </c>
      <c r="DU25" s="1158">
        <f>IF(DT25=0,0,DT25/DR25)</f>
        <v>0</v>
      </c>
      <c r="DV25" s="637">
        <f>BW49</f>
        <v>0</v>
      </c>
      <c r="DW25" s="638">
        <f>CA49</f>
        <v>0</v>
      </c>
      <c r="DX25" s="638">
        <f>DW25-DV25</f>
        <v>0</v>
      </c>
      <c r="DY25" s="1158">
        <f>IF(DX25=0,0,DX25/DV25)</f>
        <v>0</v>
      </c>
      <c r="EN25" s="34"/>
      <c r="EQ25" s="87"/>
      <c r="ER25" s="297"/>
    </row>
    <row r="26" spans="2:150" ht="13.5" thickBot="1" x14ac:dyDescent="0.25">
      <c r="B26" s="8" t="s">
        <v>222</v>
      </c>
      <c r="C26" s="200"/>
      <c r="D26" s="18"/>
      <c r="E26" s="401"/>
      <c r="F26" s="402"/>
      <c r="G26" s="18"/>
      <c r="H26" s="10"/>
      <c r="I26" s="401"/>
      <c r="J26" s="402"/>
      <c r="K26" s="18"/>
      <c r="L26" s="18"/>
      <c r="M26" s="401"/>
      <c r="N26" s="402"/>
      <c r="P26" s="8" t="s">
        <v>222</v>
      </c>
      <c r="Q26" s="200"/>
      <c r="R26" s="18"/>
      <c r="S26" s="401"/>
      <c r="T26" s="402"/>
      <c r="U26" s="18"/>
      <c r="V26" s="10"/>
      <c r="W26" s="401"/>
      <c r="X26" s="402"/>
      <c r="Y26" s="18"/>
      <c r="Z26" s="18"/>
      <c r="AA26" s="401"/>
      <c r="AB26" s="402"/>
      <c r="AD26" s="8" t="s">
        <v>222</v>
      </c>
      <c r="AE26" s="200"/>
      <c r="AF26" s="18"/>
      <c r="AG26" s="401"/>
      <c r="AH26" s="402"/>
      <c r="AI26" s="18"/>
      <c r="AJ26" s="10"/>
      <c r="AK26" s="401"/>
      <c r="AL26" s="402"/>
      <c r="AM26" s="18"/>
      <c r="AN26" s="18"/>
      <c r="AO26" s="401"/>
      <c r="AP26" s="402"/>
      <c r="AR26" s="8" t="s">
        <v>222</v>
      </c>
      <c r="AS26" s="200"/>
      <c r="AT26" s="18"/>
      <c r="AU26" s="401"/>
      <c r="AV26" s="402"/>
      <c r="AW26" s="18"/>
      <c r="AX26" s="10"/>
      <c r="AY26" s="401"/>
      <c r="AZ26" s="402"/>
      <c r="BA26" s="18"/>
      <c r="BB26" s="18"/>
      <c r="BC26" s="401"/>
      <c r="BD26" s="402"/>
      <c r="BE26" s="314"/>
      <c r="BF26" s="8" t="s">
        <v>222</v>
      </c>
      <c r="BG26" s="200"/>
      <c r="BH26" s="18"/>
      <c r="BI26" s="401"/>
      <c r="BJ26" s="402"/>
      <c r="BK26" s="18"/>
      <c r="BL26" s="10"/>
      <c r="BM26" s="401"/>
      <c r="BN26" s="402"/>
      <c r="BO26" s="18"/>
      <c r="BP26" s="18"/>
      <c r="BQ26" s="401"/>
      <c r="BR26" s="1159"/>
      <c r="BS26" s="220"/>
      <c r="BT26" s="8" t="s">
        <v>222</v>
      </c>
      <c r="BU26" s="200"/>
      <c r="BV26" s="18"/>
      <c r="BW26" s="401"/>
      <c r="BX26" s="402"/>
      <c r="BY26" s="18"/>
      <c r="BZ26" s="10"/>
      <c r="CA26" s="401"/>
      <c r="CB26" s="402"/>
      <c r="CC26" s="18"/>
      <c r="CD26" s="18"/>
      <c r="CE26" s="401"/>
      <c r="CF26" s="402"/>
      <c r="CH26" s="8" t="s">
        <v>222</v>
      </c>
      <c r="CI26" s="200"/>
      <c r="CJ26" s="18"/>
      <c r="CK26" s="401"/>
      <c r="CL26" s="403"/>
      <c r="CM26" s="18"/>
      <c r="CN26" s="10"/>
      <c r="CO26" s="18"/>
      <c r="CP26" s="403"/>
      <c r="CQ26" s="18"/>
      <c r="CR26" s="18"/>
      <c r="CS26" s="401"/>
      <c r="CT26" s="402"/>
      <c r="CW26" s="232" t="s">
        <v>623</v>
      </c>
      <c r="CX26" s="690">
        <f>CK57</f>
        <v>0</v>
      </c>
      <c r="CY26" s="691">
        <f>CO57</f>
        <v>0</v>
      </c>
      <c r="CZ26" s="691">
        <f>CY26-CX26</f>
        <v>0</v>
      </c>
      <c r="DA26" s="469">
        <f>IF(CZ26=0,0,CZ26/CX26)</f>
        <v>0</v>
      </c>
      <c r="DB26" s="690">
        <f>E57</f>
        <v>0</v>
      </c>
      <c r="DC26" s="691">
        <f>I57</f>
        <v>0</v>
      </c>
      <c r="DD26" s="691">
        <f>DC26-DB26</f>
        <v>0</v>
      </c>
      <c r="DE26" s="469">
        <f>IF(DD26=0,0,DD26/DB26)</f>
        <v>0</v>
      </c>
      <c r="DF26" s="690">
        <f>S57</f>
        <v>0</v>
      </c>
      <c r="DG26" s="691">
        <f>W57</f>
        <v>0</v>
      </c>
      <c r="DH26" s="691">
        <f>DG26-DF26</f>
        <v>0</v>
      </c>
      <c r="DI26" s="469">
        <f>IF(DH26=0,0,DH26/DF26)</f>
        <v>0</v>
      </c>
      <c r="DJ26" s="690">
        <f>AG57</f>
        <v>0</v>
      </c>
      <c r="DK26" s="691">
        <f>AK57</f>
        <v>0</v>
      </c>
      <c r="DL26" s="691">
        <f>DK26-DJ26</f>
        <v>0</v>
      </c>
      <c r="DM26" s="469">
        <f>IF(DL26=0,0,DL26/DJ26)</f>
        <v>0</v>
      </c>
      <c r="DN26" s="690">
        <f>AU57</f>
        <v>0</v>
      </c>
      <c r="DO26" s="691">
        <f>AY57</f>
        <v>0</v>
      </c>
      <c r="DP26" s="691">
        <f>DO26-DN26</f>
        <v>0</v>
      </c>
      <c r="DQ26" s="469">
        <f>IF(DP26=0,0,DP26/DN26)</f>
        <v>0</v>
      </c>
      <c r="DR26" s="690">
        <f>BI57</f>
        <v>0</v>
      </c>
      <c r="DS26" s="691">
        <f>BM57</f>
        <v>0</v>
      </c>
      <c r="DT26" s="691">
        <f>DS26-DR26</f>
        <v>0</v>
      </c>
      <c r="DU26" s="469">
        <f>IF(DT26=0,0,DT26/DR26)</f>
        <v>0</v>
      </c>
      <c r="DV26" s="690">
        <f>BW57</f>
        <v>0</v>
      </c>
      <c r="DW26" s="691">
        <f>CA57</f>
        <v>0</v>
      </c>
      <c r="DX26" s="691">
        <f>DW26-DV26</f>
        <v>0</v>
      </c>
      <c r="DY26" s="469">
        <f>IF(DX26=0,0,DX26/DV26)</f>
        <v>0</v>
      </c>
      <c r="EN26" s="34"/>
      <c r="ER26" s="220"/>
    </row>
    <row r="27" spans="2:150" ht="13.5" thickBot="1" x14ac:dyDescent="0.25">
      <c r="B27" s="64" t="s">
        <v>620</v>
      </c>
      <c r="C27" s="64"/>
      <c r="D27" s="160"/>
      <c r="E27" s="312"/>
      <c r="F27" s="311"/>
      <c r="G27" s="212"/>
      <c r="H27" s="213"/>
      <c r="I27" s="312"/>
      <c r="J27" s="311"/>
      <c r="K27" s="211"/>
      <c r="L27" s="213"/>
      <c r="M27" s="312"/>
      <c r="N27" s="311"/>
      <c r="P27" s="64" t="s">
        <v>620</v>
      </c>
      <c r="Q27" s="64"/>
      <c r="R27" s="160"/>
      <c r="S27" s="312"/>
      <c r="T27" s="311"/>
      <c r="U27" s="212"/>
      <c r="V27" s="213"/>
      <c r="W27" s="312"/>
      <c r="X27" s="311"/>
      <c r="Y27" s="211"/>
      <c r="Z27" s="213"/>
      <c r="AA27" s="312"/>
      <c r="AB27" s="311"/>
      <c r="AD27" s="64" t="s">
        <v>620</v>
      </c>
      <c r="AE27" s="64"/>
      <c r="AF27" s="160"/>
      <c r="AG27" s="312"/>
      <c r="AH27" s="311"/>
      <c r="AI27" s="212"/>
      <c r="AJ27" s="213"/>
      <c r="AK27" s="312"/>
      <c r="AL27" s="311"/>
      <c r="AM27" s="211"/>
      <c r="AN27" s="213"/>
      <c r="AO27" s="312"/>
      <c r="AP27" s="311"/>
      <c r="AR27" s="64" t="s">
        <v>620</v>
      </c>
      <c r="AS27" s="64"/>
      <c r="AT27" s="160"/>
      <c r="AU27" s="312"/>
      <c r="AV27" s="311"/>
      <c r="AW27" s="212"/>
      <c r="AX27" s="213"/>
      <c r="AY27" s="312"/>
      <c r="AZ27" s="311"/>
      <c r="BA27" s="211"/>
      <c r="BB27" s="213"/>
      <c r="BC27" s="312"/>
      <c r="BD27" s="311"/>
      <c r="BE27" s="314"/>
      <c r="BF27" s="64" t="s">
        <v>620</v>
      </c>
      <c r="BG27" s="64"/>
      <c r="BH27" s="160"/>
      <c r="BI27" s="312"/>
      <c r="BJ27" s="311"/>
      <c r="BK27" s="212"/>
      <c r="BL27" s="213"/>
      <c r="BM27" s="312"/>
      <c r="BN27" s="311"/>
      <c r="BO27" s="211"/>
      <c r="BP27" s="213"/>
      <c r="BQ27" s="312"/>
      <c r="BR27" s="311"/>
      <c r="BS27" s="220"/>
      <c r="BT27" s="64" t="s">
        <v>620</v>
      </c>
      <c r="BU27" s="64"/>
      <c r="BV27" s="160"/>
      <c r="BW27" s="312"/>
      <c r="BX27" s="311"/>
      <c r="BY27" s="212"/>
      <c r="BZ27" s="213"/>
      <c r="CA27" s="312"/>
      <c r="CB27" s="311"/>
      <c r="CC27" s="211"/>
      <c r="CD27" s="213"/>
      <c r="CE27" s="312"/>
      <c r="CF27" s="311"/>
      <c r="CH27" s="64" t="s">
        <v>620</v>
      </c>
      <c r="CI27" s="64"/>
      <c r="CJ27" s="160"/>
      <c r="CK27" s="211"/>
      <c r="CL27" s="403"/>
      <c r="CM27" s="212"/>
      <c r="CN27" s="213"/>
      <c r="CO27" s="223"/>
      <c r="CP27" s="403"/>
      <c r="CQ27" s="211"/>
      <c r="CR27" s="213"/>
      <c r="CS27" s="312"/>
      <c r="CT27" s="311"/>
      <c r="CW27" s="237" t="s">
        <v>562</v>
      </c>
      <c r="CX27" s="633">
        <f>CK58</f>
        <v>0</v>
      </c>
      <c r="CY27" s="612">
        <f>CO58</f>
        <v>0</v>
      </c>
      <c r="CZ27" s="612">
        <f>CY27-CX27</f>
        <v>0</v>
      </c>
      <c r="DA27" s="482">
        <f>IF(CZ27=0,0,CZ27/ABS(CX27))</f>
        <v>0</v>
      </c>
      <c r="DB27" s="633">
        <f>E58</f>
        <v>0</v>
      </c>
      <c r="DC27" s="612">
        <f>I58</f>
        <v>0</v>
      </c>
      <c r="DD27" s="612">
        <f>DC27-DB27</f>
        <v>0</v>
      </c>
      <c r="DE27" s="482">
        <f>IF(DD27=0,0,DD27/ABS(DB27))</f>
        <v>0</v>
      </c>
      <c r="DF27" s="633">
        <f>S58</f>
        <v>0</v>
      </c>
      <c r="DG27" s="612">
        <f>W58</f>
        <v>0</v>
      </c>
      <c r="DH27" s="612">
        <f>DG27-DF27</f>
        <v>0</v>
      </c>
      <c r="DI27" s="482">
        <f>IF(DH27=0,0,DH27/ABS(DF27))</f>
        <v>0</v>
      </c>
      <c r="DJ27" s="633">
        <f>AG58</f>
        <v>0</v>
      </c>
      <c r="DK27" s="612">
        <f>AK58</f>
        <v>0</v>
      </c>
      <c r="DL27" s="612">
        <f>DK27-DJ27</f>
        <v>0</v>
      </c>
      <c r="DM27" s="482">
        <f>IF(DL27=0,0,DL27/ABS(DJ27))</f>
        <v>0</v>
      </c>
      <c r="DN27" s="633">
        <f>AU58</f>
        <v>0</v>
      </c>
      <c r="DO27" s="612">
        <f>AY58</f>
        <v>0</v>
      </c>
      <c r="DP27" s="612">
        <f>DO27-DN27</f>
        <v>0</v>
      </c>
      <c r="DQ27" s="482">
        <f>IF(DP27=0,0,DP27/ABS(DN27))</f>
        <v>0</v>
      </c>
      <c r="DR27" s="633">
        <f>BI58</f>
        <v>0</v>
      </c>
      <c r="DS27" s="612">
        <f>BM58</f>
        <v>0</v>
      </c>
      <c r="DT27" s="612">
        <f>DS27-DR27</f>
        <v>0</v>
      </c>
      <c r="DU27" s="482">
        <f>IF(DT27=0,0,DT27/ABS(DR27))</f>
        <v>0</v>
      </c>
      <c r="DV27" s="633">
        <f>BW58</f>
        <v>0</v>
      </c>
      <c r="DW27" s="612">
        <f>CA58</f>
        <v>0</v>
      </c>
      <c r="DX27" s="612">
        <f>DW27-DV27</f>
        <v>0</v>
      </c>
      <c r="DY27" s="482">
        <f>IF(DX27=0,0,DX27/ABS(DV27))</f>
        <v>0</v>
      </c>
      <c r="ER27" s="220"/>
    </row>
    <row r="28" spans="2:150" x14ac:dyDescent="0.2">
      <c r="B28" s="2" t="s">
        <v>235</v>
      </c>
      <c r="C28" s="3"/>
      <c r="D28" s="535">
        <f>SUM(C30:C33)</f>
        <v>0</v>
      </c>
      <c r="E28" s="224"/>
      <c r="F28" s="662">
        <f>IF(E25=0,0,D28/$E$25)</f>
        <v>0</v>
      </c>
      <c r="G28" s="4"/>
      <c r="H28" s="535">
        <f>SUM(G30:G33)</f>
        <v>0</v>
      </c>
      <c r="I28" s="224"/>
      <c r="J28" s="662">
        <f>IF(I25=0,0,H28/$I$25)</f>
        <v>0</v>
      </c>
      <c r="K28" s="3"/>
      <c r="L28" s="535">
        <f>H28-D28</f>
        <v>0</v>
      </c>
      <c r="M28" s="307"/>
      <c r="N28" s="662">
        <f>IF(L28=0,0,L28/D28)</f>
        <v>0</v>
      </c>
      <c r="P28" s="2" t="s">
        <v>235</v>
      </c>
      <c r="Q28" s="3"/>
      <c r="R28" s="535">
        <f>SUM(Q30:Q33)</f>
        <v>0</v>
      </c>
      <c r="S28" s="224"/>
      <c r="T28" s="662">
        <f>IF(S25=0,0,R28/$S$25)</f>
        <v>0</v>
      </c>
      <c r="U28" s="4"/>
      <c r="V28" s="535">
        <f>SUM(U30:U33)</f>
        <v>0</v>
      </c>
      <c r="W28" s="224"/>
      <c r="X28" s="662">
        <f>IF(W25=0,0,V28/$W$25)</f>
        <v>0</v>
      </c>
      <c r="Y28" s="3"/>
      <c r="Z28" s="535">
        <f>V28-R28</f>
        <v>0</v>
      </c>
      <c r="AA28" s="307"/>
      <c r="AB28" s="662">
        <f>IF(Z28=0,0,Z28/R28)</f>
        <v>0</v>
      </c>
      <c r="AD28" s="2" t="s">
        <v>235</v>
      </c>
      <c r="AE28" s="3"/>
      <c r="AF28" s="535">
        <f>SUM(AE29:AE34)</f>
        <v>0</v>
      </c>
      <c r="AG28" s="224"/>
      <c r="AH28" s="662">
        <f>IF(AG25=0,0,AF28/$AG$25)</f>
        <v>0</v>
      </c>
      <c r="AI28" s="4"/>
      <c r="AJ28" s="535">
        <f>SUM(AI29:AI34)</f>
        <v>0</v>
      </c>
      <c r="AK28" s="224"/>
      <c r="AL28" s="662">
        <f>IF(AK25=0,0,AJ28/$AK$25)</f>
        <v>0</v>
      </c>
      <c r="AM28" s="3"/>
      <c r="AN28" s="535">
        <f>AJ28-AF28</f>
        <v>0</v>
      </c>
      <c r="AO28" s="307"/>
      <c r="AP28" s="662">
        <f>IF(AN28=0,0,AN28/AF28)</f>
        <v>0</v>
      </c>
      <c r="AR28" s="2" t="s">
        <v>235</v>
      </c>
      <c r="AS28" s="3"/>
      <c r="AT28" s="535">
        <f>SUM(AS29:AS34)</f>
        <v>0</v>
      </c>
      <c r="AU28" s="224"/>
      <c r="AV28" s="662">
        <f>IF(AU25=0,0,AT28/$AU$25)</f>
        <v>0</v>
      </c>
      <c r="AW28" s="4"/>
      <c r="AX28" s="535">
        <f>SUM(AW29:AW34)</f>
        <v>0</v>
      </c>
      <c r="AY28" s="224"/>
      <c r="AZ28" s="662">
        <f>IF(AY25=0,0,AX28/$AY$25)</f>
        <v>0</v>
      </c>
      <c r="BA28" s="3"/>
      <c r="BB28" s="535">
        <f>AX28-AT28</f>
        <v>0</v>
      </c>
      <c r="BC28" s="307"/>
      <c r="BD28" s="662">
        <f>IF(BB28=0,0,BB28/AT28)</f>
        <v>0</v>
      </c>
      <c r="BE28" s="314"/>
      <c r="BF28" s="2" t="s">
        <v>235</v>
      </c>
      <c r="BG28" s="3"/>
      <c r="BH28" s="535">
        <f>SUM(BG29:BG34)</f>
        <v>0</v>
      </c>
      <c r="BI28" s="224"/>
      <c r="BJ28" s="662">
        <f>IF(BI25=0,0,BH28/$BI$25)</f>
        <v>0</v>
      </c>
      <c r="BK28" s="4"/>
      <c r="BL28" s="535">
        <f>SUM(BK29:BK34)</f>
        <v>0</v>
      </c>
      <c r="BM28" s="224"/>
      <c r="BN28" s="662">
        <f>IF(BM25=0,0,BL28/$BM$25)</f>
        <v>0</v>
      </c>
      <c r="BO28" s="3"/>
      <c r="BP28" s="535">
        <f>BL28-BH28</f>
        <v>0</v>
      </c>
      <c r="BQ28" s="307"/>
      <c r="BR28" s="662">
        <f>IF(BP28=0,0,BP28/BH28)</f>
        <v>0</v>
      </c>
      <c r="BS28" s="297"/>
      <c r="BT28" s="2" t="s">
        <v>235</v>
      </c>
      <c r="BU28" s="231"/>
      <c r="BV28" s="678">
        <f>SUM(BU29:BU34)</f>
        <v>0</v>
      </c>
      <c r="BW28" s="225"/>
      <c r="BX28" s="662">
        <f>IF(BW25=0,0,BV28/$BW$25)</f>
        <v>0</v>
      </c>
      <c r="BY28" s="359"/>
      <c r="BZ28" s="678">
        <f>SUM(BY29:BY34)</f>
        <v>0</v>
      </c>
      <c r="CA28" s="225"/>
      <c r="CB28" s="662">
        <f>IF(CA25=0,0,BZ28/$CA$25)</f>
        <v>0</v>
      </c>
      <c r="CC28" s="231"/>
      <c r="CD28" s="678">
        <f>BZ28-BV28</f>
        <v>0</v>
      </c>
      <c r="CE28" s="308"/>
      <c r="CF28" s="662">
        <f>IF(CD28=0,0,CD28/BV28)</f>
        <v>0</v>
      </c>
      <c r="CH28" s="2" t="s">
        <v>235</v>
      </c>
      <c r="CI28" s="231"/>
      <c r="CJ28" s="678">
        <f>SUM(CI29:CI34)</f>
        <v>0</v>
      </c>
      <c r="CK28" s="225"/>
      <c r="CL28" s="672">
        <f>IF(CK25=0,0,CJ28/$CK$25)</f>
        <v>0</v>
      </c>
      <c r="CM28" s="231"/>
      <c r="CN28" s="678">
        <f>SUM(CM29:CM34)</f>
        <v>0</v>
      </c>
      <c r="CO28" s="225"/>
      <c r="CP28" s="672">
        <f>IF(CO25=0,0,CN28/$CO$25)</f>
        <v>0</v>
      </c>
      <c r="CQ28" s="231"/>
      <c r="CR28" s="678">
        <f>CN28-CJ28</f>
        <v>0</v>
      </c>
      <c r="CS28" s="308"/>
      <c r="CT28" s="662">
        <f>IF(CR28=0,0,CR28/CJ28)</f>
        <v>0</v>
      </c>
      <c r="DA28" s="88"/>
      <c r="DB28" s="88"/>
      <c r="DC28" s="88"/>
      <c r="DD28" s="88"/>
      <c r="DE28" s="88"/>
      <c r="DF28" s="88"/>
      <c r="DG28" s="88"/>
      <c r="DH28" s="88"/>
      <c r="DI28" s="88"/>
      <c r="DM28" s="88"/>
      <c r="DN28" s="88"/>
      <c r="DO28" s="88"/>
      <c r="DP28" s="88"/>
      <c r="DQ28" s="88"/>
      <c r="DU28" s="88"/>
      <c r="DY28" s="88"/>
      <c r="EN28" s="319"/>
      <c r="EP28" s="27"/>
      <c r="ER28" s="297"/>
    </row>
    <row r="29" spans="2:150" s="208" customFormat="1" ht="15" customHeight="1" thickBot="1" x14ac:dyDescent="0.3">
      <c r="B29" s="1364" t="s">
        <v>163</v>
      </c>
      <c r="C29" s="732"/>
      <c r="D29" s="210"/>
      <c r="E29" s="359"/>
      <c r="F29" s="810"/>
      <c r="G29" s="732"/>
      <c r="H29" s="210"/>
      <c r="I29" s="225"/>
      <c r="J29" s="810"/>
      <c r="K29" s="732"/>
      <c r="L29" s="210"/>
      <c r="M29" s="308"/>
      <c r="N29" s="810"/>
      <c r="P29" s="1364" t="s">
        <v>163</v>
      </c>
      <c r="Q29" s="732"/>
      <c r="R29" s="210"/>
      <c r="S29" s="359"/>
      <c r="T29" s="810"/>
      <c r="U29" s="732"/>
      <c r="V29" s="210"/>
      <c r="W29" s="225"/>
      <c r="X29" s="810"/>
      <c r="Y29" s="732"/>
      <c r="Z29" s="210"/>
      <c r="AA29" s="308"/>
      <c r="AB29" s="810"/>
      <c r="AD29" s="1364" t="s">
        <v>163</v>
      </c>
      <c r="AE29" s="663">
        <f>'6 Muuttuvat kustannukset'!J7</f>
        <v>0</v>
      </c>
      <c r="AF29" s="210"/>
      <c r="AG29" s="817"/>
      <c r="AH29" s="662">
        <f>IF(AG25=0,0,AE29/$AG$25)</f>
        <v>0</v>
      </c>
      <c r="AI29" s="679">
        <f>IF(AE29=0,0,AE29/AE62*AI62)</f>
        <v>0</v>
      </c>
      <c r="AJ29" s="210"/>
      <c r="AK29" s="225"/>
      <c r="AL29" s="662">
        <f>IF(AK25=0,0,AI29/$AK$25)</f>
        <v>0</v>
      </c>
      <c r="AM29" s="679">
        <f t="shared" ref="AM29:AM34" si="102">AI29-AE29</f>
        <v>0</v>
      </c>
      <c r="AN29" s="210"/>
      <c r="AO29" s="308"/>
      <c r="AP29" s="662">
        <f t="shared" ref="AP29:AP34" si="103">IF(AM29=0,0,AM29/AE29)</f>
        <v>0</v>
      </c>
      <c r="AR29" s="1364" t="s">
        <v>163</v>
      </c>
      <c r="AS29" s="663">
        <f>'6 Muuttuvat kustannukset'!M7</f>
        <v>0</v>
      </c>
      <c r="AT29" s="210"/>
      <c r="AU29" s="817"/>
      <c r="AV29" s="662">
        <f>IF(AU25=0,0,AS29/$AU$25)</f>
        <v>0</v>
      </c>
      <c r="AW29" s="679">
        <f>IF(AS29=0,0,AS29/AS62*AW62)</f>
        <v>0</v>
      </c>
      <c r="AX29" s="210"/>
      <c r="AY29" s="225"/>
      <c r="AZ29" s="662">
        <f>IF(AY25=0,0,AW29/$AY$25)</f>
        <v>0</v>
      </c>
      <c r="BA29" s="679">
        <f t="shared" ref="BA29:BA34" si="104">AW29-AS29</f>
        <v>0</v>
      </c>
      <c r="BB29" s="210"/>
      <c r="BC29" s="308"/>
      <c r="BD29" s="662">
        <f t="shared" ref="BD29:BD34" si="105">IF(BA29=0,0,BA29/AS29)</f>
        <v>0</v>
      </c>
      <c r="BE29" s="314"/>
      <c r="BF29" s="1364" t="s">
        <v>163</v>
      </c>
      <c r="BG29" s="663">
        <f>'6 Muuttuvat kustannukset'!P7</f>
        <v>0</v>
      </c>
      <c r="BH29" s="210"/>
      <c r="BI29" s="817"/>
      <c r="BJ29" s="662">
        <f>IF(BI25=0,0,BG29/$BI$25)</f>
        <v>0</v>
      </c>
      <c r="BK29" s="679">
        <f>IF(BG29=0,0,BG29/BG62*BK62)</f>
        <v>0</v>
      </c>
      <c r="BL29" s="210"/>
      <c r="BM29" s="225"/>
      <c r="BN29" s="662">
        <f>IF(BM25=0,0,BK29/$BM$25)</f>
        <v>0</v>
      </c>
      <c r="BO29" s="679">
        <f t="shared" ref="BO29:BO34" si="106">BK29-BG29</f>
        <v>0</v>
      </c>
      <c r="BP29" s="210"/>
      <c r="BQ29" s="308"/>
      <c r="BR29" s="662">
        <f t="shared" ref="BR29:BR34" si="107">IF(BO29=0,0,BO29/BG29)</f>
        <v>0</v>
      </c>
      <c r="BS29" s="297"/>
      <c r="BT29" s="1364" t="s">
        <v>163</v>
      </c>
      <c r="BU29" s="663">
        <f>'6 Muuttuvat kustannukset'!S7</f>
        <v>0</v>
      </c>
      <c r="BV29" s="210"/>
      <c r="BW29" s="225"/>
      <c r="BX29" s="662">
        <f>IF(BW25=0,0,BU29/$BW$25)</f>
        <v>0</v>
      </c>
      <c r="BY29" s="673">
        <f>IF(BU29=0,0,BU29/BU62*BY62)</f>
        <v>0</v>
      </c>
      <c r="BZ29" s="210"/>
      <c r="CA29" s="225"/>
      <c r="CB29" s="662">
        <f>IF(CA25=0,0,BY29/$CA$25)</f>
        <v>0</v>
      </c>
      <c r="CC29" s="663">
        <f t="shared" ref="CC29:CC34" si="108">BY29-BU29</f>
        <v>0</v>
      </c>
      <c r="CD29" s="210"/>
      <c r="CE29" s="308"/>
      <c r="CF29" s="662">
        <f t="shared" ref="CF29:CF34" si="109">IF(CC29=0,0,CC29/BU29)</f>
        <v>0</v>
      </c>
      <c r="CG29"/>
      <c r="CH29" s="1364" t="s">
        <v>163</v>
      </c>
      <c r="CI29" s="663">
        <f>AE29+AS29+BG29+BU29</f>
        <v>0</v>
      </c>
      <c r="CJ29" s="210"/>
      <c r="CK29" s="225"/>
      <c r="CL29" s="672">
        <f>IF(CK25=0,0,CI29/$CK$25)</f>
        <v>0</v>
      </c>
      <c r="CM29" s="663">
        <f>AI29+AW29+BK29+BY29</f>
        <v>0</v>
      </c>
      <c r="CN29" s="210"/>
      <c r="CO29" s="225"/>
      <c r="CP29" s="672">
        <f>IF(CO25=0,0,CM29/$CO$25)</f>
        <v>0</v>
      </c>
      <c r="CQ29" s="663">
        <f t="shared" ref="CQ29:CQ34" si="110">CM29-CI29</f>
        <v>0</v>
      </c>
      <c r="CR29" s="210"/>
      <c r="CS29" s="308"/>
      <c r="CT29" s="662">
        <f t="shared" ref="CT29:CT34" si="111">IF(CQ29=0,0,CQ29/CI29)</f>
        <v>0</v>
      </c>
      <c r="CX29" s="239"/>
      <c r="CY29" s="239"/>
      <c r="CZ29" s="239"/>
      <c r="DB29" s="239"/>
      <c r="DC29" s="239"/>
      <c r="DD29" s="239"/>
      <c r="DF29" s="239"/>
      <c r="DG29" s="239"/>
      <c r="DH29" s="239"/>
      <c r="DJ29" s="239"/>
      <c r="DK29" s="239"/>
      <c r="DL29" s="239"/>
      <c r="DN29" s="239"/>
      <c r="DO29" s="239"/>
      <c r="DP29" s="239"/>
      <c r="DR29" s="239"/>
      <c r="DS29" s="239"/>
      <c r="DT29" s="239"/>
      <c r="DV29" s="239"/>
      <c r="DW29" s="239"/>
      <c r="DX29" s="239"/>
      <c r="EB29" s="707"/>
      <c r="EC29" s="707"/>
      <c r="ED29" s="707"/>
      <c r="EE29" s="1167" t="str">
        <f xml:space="preserve">  CY6</f>
        <v>Yritys</v>
      </c>
      <c r="EF29" s="1131"/>
      <c r="EG29" s="1660" t="str">
        <f>DC6</f>
        <v>Verkko1</v>
      </c>
      <c r="EH29" s="1660"/>
      <c r="EI29" s="1660" t="str">
        <f>DG6</f>
        <v>Verkko2</v>
      </c>
      <c r="EJ29" s="1660"/>
      <c r="EK29" s="1167" t="str">
        <f>DK6</f>
        <v>Isorysä1</v>
      </c>
      <c r="EL29" s="1170"/>
      <c r="EM29" s="1167" t="str">
        <f>DO6</f>
        <v>Isorysä2</v>
      </c>
      <c r="EN29" s="707"/>
      <c r="EO29" s="1660" t="str">
        <f>DS6</f>
        <v>PU-rysä1</v>
      </c>
      <c r="EP29" s="1660"/>
      <c r="EQ29" s="1660" t="str">
        <f>DW6</f>
        <v>PU-rysä2</v>
      </c>
      <c r="ER29" s="1660"/>
      <c r="ES29" s="1132"/>
      <c r="ET29" s="707"/>
    </row>
    <row r="30" spans="2:150" s="208" customFormat="1" ht="15.75" customHeight="1" thickBot="1" x14ac:dyDescent="0.3">
      <c r="B30" s="1364" t="s">
        <v>162</v>
      </c>
      <c r="C30" s="663">
        <f>'6 Muuttuvat kustannukset'!D8</f>
        <v>0</v>
      </c>
      <c r="D30" s="210"/>
      <c r="E30" s="225"/>
      <c r="F30" s="662">
        <f>IF(E25=0,0,C30/$E$25)</f>
        <v>0</v>
      </c>
      <c r="G30" s="679">
        <f>IF(C23=0,0,C30/C23*G23)</f>
        <v>0</v>
      </c>
      <c r="H30" s="210"/>
      <c r="I30" s="225"/>
      <c r="J30" s="662">
        <f>IF(I25=0,0,G30/$I$25)</f>
        <v>0</v>
      </c>
      <c r="K30" s="663">
        <f>G30-C30</f>
        <v>0</v>
      </c>
      <c r="L30" s="210"/>
      <c r="M30" s="308"/>
      <c r="N30" s="662">
        <f>IF(K30=0,0,K30/C30)</f>
        <v>0</v>
      </c>
      <c r="P30" s="1364" t="s">
        <v>162</v>
      </c>
      <c r="Q30" s="663">
        <f>'6 Muuttuvat kustannukset'!G8</f>
        <v>0</v>
      </c>
      <c r="R30" s="210"/>
      <c r="S30" s="225"/>
      <c r="T30" s="662">
        <f>IF(S25=0,0,Q30/$S$25)</f>
        <v>0</v>
      </c>
      <c r="U30" s="679">
        <f>IF(Q23=0,0,Q30/Q23*U23)</f>
        <v>0</v>
      </c>
      <c r="V30" s="210"/>
      <c r="W30" s="225"/>
      <c r="X30" s="662">
        <f>IF(W25=0,0,U30/$W$25)</f>
        <v>0</v>
      </c>
      <c r="Y30" s="663">
        <f>U30-Q30</f>
        <v>0</v>
      </c>
      <c r="Z30" s="210"/>
      <c r="AA30" s="308"/>
      <c r="AB30" s="662">
        <f>IF(Y30=0,0,Y30/Q30)</f>
        <v>0</v>
      </c>
      <c r="AD30" s="1364" t="s">
        <v>162</v>
      </c>
      <c r="AE30" s="663">
        <f>'6 Muuttuvat kustannukset'!J8</f>
        <v>0</v>
      </c>
      <c r="AF30" s="210"/>
      <c r="AG30" s="225"/>
      <c r="AH30" s="662">
        <f>IF(AG25=0,0,AE30/$AG$25)</f>
        <v>0</v>
      </c>
      <c r="AI30" s="679">
        <f>IF(AE23=0,0,AE30/AE23*AI23)</f>
        <v>0</v>
      </c>
      <c r="AJ30" s="210"/>
      <c r="AK30" s="225"/>
      <c r="AL30" s="662">
        <f>IF(AK25=0,0,AI30/$AK$25)</f>
        <v>0</v>
      </c>
      <c r="AM30" s="663">
        <f t="shared" si="102"/>
        <v>0</v>
      </c>
      <c r="AN30" s="210"/>
      <c r="AO30" s="308"/>
      <c r="AP30" s="662">
        <f t="shared" si="103"/>
        <v>0</v>
      </c>
      <c r="AR30" s="1364" t="s">
        <v>162</v>
      </c>
      <c r="AS30" s="663">
        <f>'6 Muuttuvat kustannukset'!M8</f>
        <v>0</v>
      </c>
      <c r="AT30" s="210"/>
      <c r="AU30" s="225"/>
      <c r="AV30" s="662">
        <f>IF(AU25=0,0,AS30/$AU$25)</f>
        <v>0</v>
      </c>
      <c r="AW30" s="679">
        <f>IF(AS23=0,0,AS30/AS23*AW23)</f>
        <v>0</v>
      </c>
      <c r="AX30" s="210"/>
      <c r="AY30" s="225"/>
      <c r="AZ30" s="662">
        <f>IF(AY25=0,0,AW30/$AY$25)</f>
        <v>0</v>
      </c>
      <c r="BA30" s="663">
        <f t="shared" si="104"/>
        <v>0</v>
      </c>
      <c r="BB30" s="210"/>
      <c r="BC30" s="308"/>
      <c r="BD30" s="662">
        <f t="shared" si="105"/>
        <v>0</v>
      </c>
      <c r="BE30" s="314"/>
      <c r="BF30" s="1364" t="s">
        <v>162</v>
      </c>
      <c r="BG30" s="663">
        <f>'6 Muuttuvat kustannukset'!P8</f>
        <v>0</v>
      </c>
      <c r="BH30" s="210"/>
      <c r="BI30" s="225"/>
      <c r="BJ30" s="662">
        <f>IF(BI25=0,0,BG30/$BI$25)</f>
        <v>0</v>
      </c>
      <c r="BK30" s="679">
        <f>IF(BG23=0,0,BG30/BG23*BK23)</f>
        <v>0</v>
      </c>
      <c r="BL30" s="210"/>
      <c r="BM30" s="225"/>
      <c r="BN30" s="662">
        <f>IF(BM25=0,0,BK30/$BM$25)</f>
        <v>0</v>
      </c>
      <c r="BO30" s="663">
        <f t="shared" si="106"/>
        <v>0</v>
      </c>
      <c r="BP30" s="210"/>
      <c r="BQ30" s="308"/>
      <c r="BR30" s="662">
        <f t="shared" si="107"/>
        <v>0</v>
      </c>
      <c r="BS30" s="297"/>
      <c r="BT30" s="1364" t="s">
        <v>162</v>
      </c>
      <c r="BU30" s="663">
        <f>'6 Muuttuvat kustannukset'!S8</f>
        <v>0</v>
      </c>
      <c r="BV30" s="210"/>
      <c r="BW30" s="225"/>
      <c r="BX30" s="662">
        <f>IF(BW25=0,0,BU30/$BW$25)</f>
        <v>0</v>
      </c>
      <c r="BY30" s="673">
        <f>IF(BU23=0,0,BU30/BU23*BY23)</f>
        <v>0</v>
      </c>
      <c r="BZ30" s="210"/>
      <c r="CA30" s="225"/>
      <c r="CB30" s="662">
        <f>IF(CA25=0,0,BY30/$CA$25)</f>
        <v>0</v>
      </c>
      <c r="CC30" s="663">
        <f t="shared" si="108"/>
        <v>0</v>
      </c>
      <c r="CD30" s="210"/>
      <c r="CE30" s="308"/>
      <c r="CF30" s="662">
        <f t="shared" si="109"/>
        <v>0</v>
      </c>
      <c r="CG30"/>
      <c r="CH30" s="1364" t="s">
        <v>162</v>
      </c>
      <c r="CI30" s="663">
        <f>C30+Q30+AE30+AS30+BG30+BU30</f>
        <v>0</v>
      </c>
      <c r="CJ30" s="210"/>
      <c r="CK30" s="225"/>
      <c r="CL30" s="672">
        <f>IF(CK25=0,0,CI30/$CK$25)</f>
        <v>0</v>
      </c>
      <c r="CM30" s="663">
        <f>G30+U30+AI30+AW30+BK30+BY30</f>
        <v>0</v>
      </c>
      <c r="CN30" s="210"/>
      <c r="CO30" s="225"/>
      <c r="CP30" s="672">
        <f>IF(CO25=0,0,CM30/$CO$25)</f>
        <v>0</v>
      </c>
      <c r="CQ30" s="663">
        <f t="shared" si="110"/>
        <v>0</v>
      </c>
      <c r="CR30" s="210"/>
      <c r="CS30" s="308"/>
      <c r="CT30" s="662">
        <f t="shared" si="111"/>
        <v>0</v>
      </c>
      <c r="CW30" s="238" t="s">
        <v>243</v>
      </c>
      <c r="CX30" s="633">
        <f>CX20</f>
        <v>0</v>
      </c>
      <c r="CY30" s="612">
        <f>CY20</f>
        <v>0</v>
      </c>
      <c r="CZ30" s="612">
        <f>CZ20</f>
        <v>0</v>
      </c>
      <c r="DA30" s="692">
        <f>IF(CZ30=0,0,CZ30/CX30)</f>
        <v>0</v>
      </c>
      <c r="DB30" s="633">
        <f>DB20</f>
        <v>0</v>
      </c>
      <c r="DC30" s="612">
        <f>DC20</f>
        <v>0</v>
      </c>
      <c r="DD30" s="612">
        <f>DD20</f>
        <v>0</v>
      </c>
      <c r="DE30" s="692">
        <f>IF(DD30=0,0,DD30/DB30)</f>
        <v>0</v>
      </c>
      <c r="DF30" s="633">
        <f>DF20</f>
        <v>0</v>
      </c>
      <c r="DG30" s="612">
        <f>DG20</f>
        <v>0</v>
      </c>
      <c r="DH30" s="612">
        <f>DH20</f>
        <v>0</v>
      </c>
      <c r="DI30" s="692">
        <f>IF(DH30=0,0,DH30/DF30)</f>
        <v>0</v>
      </c>
      <c r="DJ30" s="633">
        <f>DJ20</f>
        <v>0</v>
      </c>
      <c r="DK30" s="612">
        <f>DK20</f>
        <v>0</v>
      </c>
      <c r="DL30" s="612">
        <f>DL20</f>
        <v>0</v>
      </c>
      <c r="DM30" s="692">
        <f>IF(DL30=0,0,DL30/DJ30)</f>
        <v>0</v>
      </c>
      <c r="DN30" s="633">
        <f>DN20</f>
        <v>0</v>
      </c>
      <c r="DO30" s="612">
        <f>DO20</f>
        <v>0</v>
      </c>
      <c r="DP30" s="612">
        <f>DP20</f>
        <v>0</v>
      </c>
      <c r="DQ30" s="692">
        <f>IF(DP30=0,0,DP30/DN30)</f>
        <v>0</v>
      </c>
      <c r="DR30" s="633">
        <f>DR20</f>
        <v>0</v>
      </c>
      <c r="DS30" s="612">
        <f>DS20</f>
        <v>0</v>
      </c>
      <c r="DT30" s="612">
        <f>DT20</f>
        <v>0</v>
      </c>
      <c r="DU30" s="692">
        <f>IF(DT30=0,0,DT30/DR30)</f>
        <v>0</v>
      </c>
      <c r="DV30" s="633">
        <f>DV20</f>
        <v>0</v>
      </c>
      <c r="DW30" s="612">
        <f>DW20</f>
        <v>0</v>
      </c>
      <c r="DX30" s="612">
        <f>DX20</f>
        <v>0</v>
      </c>
      <c r="DY30" s="482">
        <f>IF(DX30=0,0,DX30/DV30)</f>
        <v>0</v>
      </c>
      <c r="EB30" s="707"/>
      <c r="EC30" s="707"/>
      <c r="ED30" s="707"/>
      <c r="EE30" s="707"/>
      <c r="EF30" s="707"/>
      <c r="EG30" s="707"/>
      <c r="EH30" s="707"/>
      <c r="EI30" s="707"/>
      <c r="EJ30" s="707"/>
      <c r="EK30" s="707"/>
      <c r="EL30" s="707"/>
      <c r="EM30" s="707"/>
      <c r="EN30" s="707"/>
      <c r="EO30" s="707"/>
      <c r="EP30" s="707"/>
      <c r="EQ30" s="707"/>
      <c r="ER30" s="707"/>
      <c r="ES30" s="707"/>
      <c r="ET30" s="707"/>
    </row>
    <row r="31" spans="2:150" s="208" customFormat="1" ht="16.5" customHeight="1" thickBot="1" x14ac:dyDescent="0.25">
      <c r="B31" s="1364" t="s">
        <v>247</v>
      </c>
      <c r="C31" s="663">
        <f>'6 Muuttuvat kustannukset'!D9</f>
        <v>0</v>
      </c>
      <c r="D31" s="210"/>
      <c r="E31" s="225"/>
      <c r="F31" s="662">
        <f>IF(E25=0,0,C31/$E$25)</f>
        <v>0</v>
      </c>
      <c r="G31" s="679">
        <f>IF(C23=0,0,C31/C23*G23)</f>
        <v>0</v>
      </c>
      <c r="H31" s="210"/>
      <c r="I31" s="225"/>
      <c r="J31" s="662">
        <f>IF(I25=0,0,G31/$I$25)</f>
        <v>0</v>
      </c>
      <c r="K31" s="663">
        <f>G31-C31</f>
        <v>0</v>
      </c>
      <c r="L31" s="210"/>
      <c r="M31" s="308"/>
      <c r="N31" s="662">
        <f>IF(K31=0,0,K31/C31)</f>
        <v>0</v>
      </c>
      <c r="P31" s="1364" t="s">
        <v>247</v>
      </c>
      <c r="Q31" s="663">
        <f>'6 Muuttuvat kustannukset'!G9</f>
        <v>0</v>
      </c>
      <c r="R31" s="210"/>
      <c r="S31" s="225"/>
      <c r="T31" s="662">
        <f>IF(S25=0,0,Q31/$S$25)</f>
        <v>0</v>
      </c>
      <c r="U31" s="679">
        <f>IF(Q23=0,0,Q31/Q23*U23)</f>
        <v>0</v>
      </c>
      <c r="V31" s="210"/>
      <c r="W31" s="225"/>
      <c r="X31" s="662">
        <f>IF(W25=0,0,U31/$W$25)</f>
        <v>0</v>
      </c>
      <c r="Y31" s="663">
        <f>U31-Q31</f>
        <v>0</v>
      </c>
      <c r="Z31" s="210"/>
      <c r="AA31" s="308"/>
      <c r="AB31" s="662">
        <f>IF(Y31=0,0,Y31/Q31)</f>
        <v>0</v>
      </c>
      <c r="AD31" s="1364" t="s">
        <v>247</v>
      </c>
      <c r="AE31" s="663">
        <f>'6 Muuttuvat kustannukset'!J9</f>
        <v>0</v>
      </c>
      <c r="AF31" s="210"/>
      <c r="AG31" s="225"/>
      <c r="AH31" s="662">
        <f>IF(AG25=0,0,AE31/$AG$25)</f>
        <v>0</v>
      </c>
      <c r="AI31" s="679">
        <f>IF(AE23=0,0,AE31/AE23*AI23)</f>
        <v>0</v>
      </c>
      <c r="AJ31" s="210"/>
      <c r="AK31" s="225"/>
      <c r="AL31" s="662">
        <f>IF(AK25=0,0,AI31/$AK$25)</f>
        <v>0</v>
      </c>
      <c r="AM31" s="663">
        <f t="shared" si="102"/>
        <v>0</v>
      </c>
      <c r="AN31" s="210"/>
      <c r="AO31" s="308"/>
      <c r="AP31" s="662">
        <f t="shared" si="103"/>
        <v>0</v>
      </c>
      <c r="AR31" s="1364" t="s">
        <v>247</v>
      </c>
      <c r="AS31" s="663">
        <f>'6 Muuttuvat kustannukset'!M9</f>
        <v>0</v>
      </c>
      <c r="AT31" s="210"/>
      <c r="AU31" s="225"/>
      <c r="AV31" s="662">
        <f>IF(AU25=0,0,AS31/$AU$25)</f>
        <v>0</v>
      </c>
      <c r="AW31" s="679">
        <f>IF(AS23=0,0,AS31/AS23*AW23)</f>
        <v>0</v>
      </c>
      <c r="AX31" s="210"/>
      <c r="AY31" s="225"/>
      <c r="AZ31" s="662">
        <f>IF(AY25=0,0,AW31/$AY$25)</f>
        <v>0</v>
      </c>
      <c r="BA31" s="663">
        <f t="shared" si="104"/>
        <v>0</v>
      </c>
      <c r="BB31" s="210"/>
      <c r="BC31" s="308"/>
      <c r="BD31" s="662">
        <f t="shared" si="105"/>
        <v>0</v>
      </c>
      <c r="BE31" s="314"/>
      <c r="BF31" s="1364" t="s">
        <v>247</v>
      </c>
      <c r="BG31" s="663">
        <f>'6 Muuttuvat kustannukset'!P9</f>
        <v>0</v>
      </c>
      <c r="BH31" s="210"/>
      <c r="BI31" s="225"/>
      <c r="BJ31" s="662">
        <f>IF(BI25=0,0,BG31/$BI$25)</f>
        <v>0</v>
      </c>
      <c r="BK31" s="679">
        <f>IF(BG23=0,0,BG31/BG23*BK23)</f>
        <v>0</v>
      </c>
      <c r="BL31" s="210"/>
      <c r="BM31" s="225"/>
      <c r="BN31" s="662">
        <f>IF(BM25=0,0,BK31/$BM$25)</f>
        <v>0</v>
      </c>
      <c r="BO31" s="663">
        <f t="shared" si="106"/>
        <v>0</v>
      </c>
      <c r="BP31" s="210"/>
      <c r="BQ31" s="308"/>
      <c r="BR31" s="662">
        <f t="shared" si="107"/>
        <v>0</v>
      </c>
      <c r="BS31" s="297"/>
      <c r="BT31" s="1364" t="s">
        <v>247</v>
      </c>
      <c r="BU31" s="663">
        <f>'6 Muuttuvat kustannukset'!S9</f>
        <v>0</v>
      </c>
      <c r="BV31" s="210"/>
      <c r="BW31" s="225"/>
      <c r="BX31" s="662">
        <f>IF(BW25=0,0,BU31/$BW$25)</f>
        <v>0</v>
      </c>
      <c r="BY31" s="673">
        <f>IF(BU23=0,0,BU31/BU23*BY23)</f>
        <v>0</v>
      </c>
      <c r="BZ31" s="210"/>
      <c r="CA31" s="225"/>
      <c r="CB31" s="662">
        <f>IF(CA25=0,0,BY31/$CA$25)</f>
        <v>0</v>
      </c>
      <c r="CC31" s="663">
        <f t="shared" si="108"/>
        <v>0</v>
      </c>
      <c r="CD31" s="210"/>
      <c r="CE31" s="308"/>
      <c r="CF31" s="662">
        <f>IF(CC31=0,0,CC31/BU31)</f>
        <v>0</v>
      </c>
      <c r="CG31"/>
      <c r="CH31" s="1364" t="s">
        <v>247</v>
      </c>
      <c r="CI31" s="663">
        <f>C31+Q31+AE31+AS31+BG31+BU31</f>
        <v>0</v>
      </c>
      <c r="CJ31" s="210"/>
      <c r="CK31" s="225"/>
      <c r="CL31" s="672">
        <f>IF(CK25=0,0,CI31/$CK$25)</f>
        <v>0</v>
      </c>
      <c r="CM31" s="663">
        <f>G31+U31+AI31+AW31+BK31+BY31</f>
        <v>0</v>
      </c>
      <c r="CN31" s="210"/>
      <c r="CO31" s="225"/>
      <c r="CP31" s="672">
        <f>IF(CO25=0,0,CM31/$CO$25)</f>
        <v>0</v>
      </c>
      <c r="CQ31" s="663">
        <f t="shared" si="110"/>
        <v>0</v>
      </c>
      <c r="CR31" s="210"/>
      <c r="CS31" s="308"/>
      <c r="CT31" s="662">
        <f t="shared" si="111"/>
        <v>0</v>
      </c>
      <c r="CW31" s="232" t="s">
        <v>226</v>
      </c>
      <c r="CX31" s="633">
        <f>CK50</f>
        <v>0</v>
      </c>
      <c r="CY31" s="612">
        <f>CO50</f>
        <v>0</v>
      </c>
      <c r="CZ31" s="612">
        <f>CY31-CX31</f>
        <v>0</v>
      </c>
      <c r="DA31" s="692">
        <f>IF(CZ31=0,0,CZ31/ABS(CX31))</f>
        <v>0</v>
      </c>
      <c r="DB31" s="633">
        <f>E50</f>
        <v>0</v>
      </c>
      <c r="DC31" s="612">
        <f>I50</f>
        <v>0</v>
      </c>
      <c r="DD31" s="612">
        <f>DC31-DB31</f>
        <v>0</v>
      </c>
      <c r="DE31" s="692">
        <f>IF(DD31=0,0,DD31/ABS(DB31))</f>
        <v>0</v>
      </c>
      <c r="DF31" s="633">
        <f>S50</f>
        <v>0</v>
      </c>
      <c r="DG31" s="612">
        <f>W50</f>
        <v>0</v>
      </c>
      <c r="DH31" s="612">
        <f>DG31-DF31</f>
        <v>0</v>
      </c>
      <c r="DI31" s="692">
        <f>IF(DH31=0,0,DH31/ABS(DF31))</f>
        <v>0</v>
      </c>
      <c r="DJ31" s="633">
        <f>AG50</f>
        <v>0</v>
      </c>
      <c r="DK31" s="612">
        <f>AK50</f>
        <v>0</v>
      </c>
      <c r="DL31" s="612">
        <f>DK31-DJ31</f>
        <v>0</v>
      </c>
      <c r="DM31" s="692">
        <f>IF(DL31=0,0,DL31/ABS(DJ31))</f>
        <v>0</v>
      </c>
      <c r="DN31" s="633">
        <f>AU50</f>
        <v>0</v>
      </c>
      <c r="DO31" s="612">
        <f>AY50</f>
        <v>0</v>
      </c>
      <c r="DP31" s="612">
        <f>DO31-DN31</f>
        <v>0</v>
      </c>
      <c r="DQ31" s="692">
        <f>IF(DP31=0,0,DP31/ABS(DN31))</f>
        <v>0</v>
      </c>
      <c r="DR31" s="633">
        <f>BI50</f>
        <v>0</v>
      </c>
      <c r="DS31" s="612">
        <f>BM50</f>
        <v>0</v>
      </c>
      <c r="DT31" s="612">
        <f>DS31-DR31</f>
        <v>0</v>
      </c>
      <c r="DU31" s="692">
        <f>IF(DT31=0,0,DT31/ABS(DR31))</f>
        <v>0</v>
      </c>
      <c r="DV31" s="633">
        <f>BW50</f>
        <v>0</v>
      </c>
      <c r="DW31" s="612">
        <f>CA50</f>
        <v>0</v>
      </c>
      <c r="DX31" s="612">
        <f>DW31-DV31</f>
        <v>0</v>
      </c>
      <c r="DY31" s="482">
        <f>IF(DX31=0,0,DX31/ABS(DV31))</f>
        <v>0</v>
      </c>
    </row>
    <row r="32" spans="2:150" s="208" customFormat="1" ht="15.75" customHeight="1" thickBot="1" x14ac:dyDescent="0.25">
      <c r="B32" s="1364" t="s">
        <v>246</v>
      </c>
      <c r="C32" s="663">
        <f>'6 Muuttuvat kustannukset'!D10</f>
        <v>0</v>
      </c>
      <c r="D32" s="210"/>
      <c r="E32" s="225"/>
      <c r="F32" s="662">
        <f>IF(E25=0,0,C32/$E$25)</f>
        <v>0</v>
      </c>
      <c r="G32" s="1595"/>
      <c r="H32" s="210"/>
      <c r="I32" s="225"/>
      <c r="J32" s="662">
        <f>IF(I25=0,0,G32/$I$25)</f>
        <v>0</v>
      </c>
      <c r="K32" s="663">
        <f>G32-C32</f>
        <v>0</v>
      </c>
      <c r="L32" s="210"/>
      <c r="M32" s="308"/>
      <c r="N32" s="662">
        <f>IF(K32=0,0,K32/C32)</f>
        <v>0</v>
      </c>
      <c r="P32" s="1364" t="s">
        <v>246</v>
      </c>
      <c r="Q32" s="663">
        <f>'6 Muuttuvat kustannukset'!G10</f>
        <v>0</v>
      </c>
      <c r="R32" s="210"/>
      <c r="S32" s="225"/>
      <c r="T32" s="662">
        <f>IF(S25=0,0,Q32/$S$25)</f>
        <v>0</v>
      </c>
      <c r="U32" s="1595"/>
      <c r="V32" s="210"/>
      <c r="W32" s="225"/>
      <c r="X32" s="662">
        <f>IF(W25=0,0,U32/$W$25)</f>
        <v>0</v>
      </c>
      <c r="Y32" s="663">
        <f>U32-Q32</f>
        <v>0</v>
      </c>
      <c r="Z32" s="210"/>
      <c r="AA32" s="308"/>
      <c r="AB32" s="662">
        <f>IF(Y32=0,0,Y32/Q32)</f>
        <v>0</v>
      </c>
      <c r="AD32" s="1364" t="s">
        <v>246</v>
      </c>
      <c r="AE32" s="663">
        <f>'6 Muuttuvat kustannukset'!J10</f>
        <v>0</v>
      </c>
      <c r="AF32" s="210"/>
      <c r="AG32" s="225"/>
      <c r="AH32" s="662">
        <f>IF(AG25=0,0,AE32/$AG$25)</f>
        <v>0</v>
      </c>
      <c r="AI32" s="1595"/>
      <c r="AJ32" s="210"/>
      <c r="AK32" s="225"/>
      <c r="AL32" s="662">
        <f>IF(AK25=0,0,AI32/$AK$25)</f>
        <v>0</v>
      </c>
      <c r="AM32" s="663">
        <f t="shared" si="102"/>
        <v>0</v>
      </c>
      <c r="AN32" s="210"/>
      <c r="AO32" s="308"/>
      <c r="AP32" s="662">
        <f t="shared" si="103"/>
        <v>0</v>
      </c>
      <c r="AR32" s="1364" t="s">
        <v>246</v>
      </c>
      <c r="AS32" s="663">
        <f>'6 Muuttuvat kustannukset'!M10</f>
        <v>0</v>
      </c>
      <c r="AT32" s="210"/>
      <c r="AU32" s="225"/>
      <c r="AV32" s="662">
        <f>IF(AU25=0,0,AS32/$AU$25)</f>
        <v>0</v>
      </c>
      <c r="AW32" s="1595"/>
      <c r="AX32" s="210"/>
      <c r="AY32" s="225"/>
      <c r="AZ32" s="662">
        <f>IF(AY25=0,0,AW32/$AY$25)</f>
        <v>0</v>
      </c>
      <c r="BA32" s="663">
        <f t="shared" si="104"/>
        <v>0</v>
      </c>
      <c r="BB32" s="210"/>
      <c r="BC32" s="308"/>
      <c r="BD32" s="662">
        <f t="shared" si="105"/>
        <v>0</v>
      </c>
      <c r="BE32" s="314"/>
      <c r="BF32" s="1364" t="s">
        <v>246</v>
      </c>
      <c r="BG32" s="663">
        <f>'6 Muuttuvat kustannukset'!P10</f>
        <v>0</v>
      </c>
      <c r="BH32" s="210"/>
      <c r="BI32" s="225"/>
      <c r="BJ32" s="662">
        <f>IF(BI25=0,0,BG32/$BI$25)</f>
        <v>0</v>
      </c>
      <c r="BK32" s="1595"/>
      <c r="BL32" s="210"/>
      <c r="BM32" s="225"/>
      <c r="BN32" s="662">
        <f>IF(BM25=0,0,BK32/$BM$25)</f>
        <v>0</v>
      </c>
      <c r="BO32" s="663">
        <f t="shared" si="106"/>
        <v>0</v>
      </c>
      <c r="BP32" s="210"/>
      <c r="BQ32" s="308"/>
      <c r="BR32" s="662">
        <f t="shared" si="107"/>
        <v>0</v>
      </c>
      <c r="BS32" s="297"/>
      <c r="BT32" s="1364" t="s">
        <v>246</v>
      </c>
      <c r="BU32" s="663">
        <f>'6 Muuttuvat kustannukset'!S10</f>
        <v>0</v>
      </c>
      <c r="BV32" s="210"/>
      <c r="BW32" s="225"/>
      <c r="BX32" s="662">
        <f>IF(BW25=0,0,BU32/$BW$25)</f>
        <v>0</v>
      </c>
      <c r="BY32" s="1595"/>
      <c r="BZ32" s="210"/>
      <c r="CA32" s="225"/>
      <c r="CB32" s="662">
        <f>IF(CA25=0,0,BY32/$CA$25)</f>
        <v>0</v>
      </c>
      <c r="CC32" s="663">
        <f t="shared" si="108"/>
        <v>0</v>
      </c>
      <c r="CD32" s="210"/>
      <c r="CE32" s="308"/>
      <c r="CF32" s="662">
        <f t="shared" si="109"/>
        <v>0</v>
      </c>
      <c r="CG32"/>
      <c r="CH32" s="1364" t="s">
        <v>246</v>
      </c>
      <c r="CI32" s="663">
        <f>C32+Q32+AE32+AS32+BG32+BU32</f>
        <v>0</v>
      </c>
      <c r="CJ32" s="210"/>
      <c r="CK32" s="225"/>
      <c r="CL32" s="672">
        <f>IF(CK25=0,0,CI32/$CK$25)</f>
        <v>0</v>
      </c>
      <c r="CM32" s="663">
        <f>G32+U32+AI32+AW32+BK32+BY32</f>
        <v>0</v>
      </c>
      <c r="CN32" s="210"/>
      <c r="CO32" s="225"/>
      <c r="CP32" s="672">
        <f>IF(CO25=0,0,CM32/$CO$25)</f>
        <v>0</v>
      </c>
      <c r="CQ32" s="663">
        <f t="shared" si="110"/>
        <v>0</v>
      </c>
      <c r="CR32" s="210"/>
      <c r="CS32" s="308"/>
      <c r="CT32" s="662">
        <f t="shared" si="111"/>
        <v>0</v>
      </c>
      <c r="CW32" s="237" t="s">
        <v>562</v>
      </c>
      <c r="CX32" s="639">
        <f>CK58</f>
        <v>0</v>
      </c>
      <c r="CY32" s="640">
        <f>CO58</f>
        <v>0</v>
      </c>
      <c r="CZ32" s="640">
        <f>CY32-CX32</f>
        <v>0</v>
      </c>
      <c r="DA32" s="692">
        <f>IF(CZ32=0,0,CZ32/ABS(CX32))</f>
        <v>0</v>
      </c>
      <c r="DB32" s="639">
        <f>E58</f>
        <v>0</v>
      </c>
      <c r="DC32" s="640">
        <f>I58</f>
        <v>0</v>
      </c>
      <c r="DD32" s="640">
        <f>DC32-DB32</f>
        <v>0</v>
      </c>
      <c r="DE32" s="692">
        <f>IF(DD32=0,0,DD32/ABS(DB32))</f>
        <v>0</v>
      </c>
      <c r="DF32" s="639">
        <f>S58</f>
        <v>0</v>
      </c>
      <c r="DG32" s="640">
        <f>W58</f>
        <v>0</v>
      </c>
      <c r="DH32" s="640">
        <f>DG32-DF32</f>
        <v>0</v>
      </c>
      <c r="DI32" s="692">
        <f>IF(DH32=0,0,DH32/ABS(DF32))</f>
        <v>0</v>
      </c>
      <c r="DJ32" s="639">
        <f>AG58</f>
        <v>0</v>
      </c>
      <c r="DK32" s="640">
        <f>AK58</f>
        <v>0</v>
      </c>
      <c r="DL32" s="640">
        <f>DK32-DJ32</f>
        <v>0</v>
      </c>
      <c r="DM32" s="692">
        <f>IF(DL32=0,0,DL32/ABS(DJ32))</f>
        <v>0</v>
      </c>
      <c r="DN32" s="639">
        <f>AU58</f>
        <v>0</v>
      </c>
      <c r="DO32" s="640">
        <f>AY58</f>
        <v>0</v>
      </c>
      <c r="DP32" s="640">
        <f>DO32-DN32</f>
        <v>0</v>
      </c>
      <c r="DQ32" s="692">
        <f>IF(DP32=0,0,DP32/ABS(DN32))</f>
        <v>0</v>
      </c>
      <c r="DR32" s="639">
        <f>BI58</f>
        <v>0</v>
      </c>
      <c r="DS32" s="640">
        <f>BM58</f>
        <v>0</v>
      </c>
      <c r="DT32" s="640">
        <f>DS32-DR32</f>
        <v>0</v>
      </c>
      <c r="DU32" s="692">
        <f>IF(DT32=0,0,DT32/ABS(DR32))</f>
        <v>0</v>
      </c>
      <c r="DV32" s="639">
        <f>BW58</f>
        <v>0</v>
      </c>
      <c r="DW32" s="640">
        <f>CA58</f>
        <v>0</v>
      </c>
      <c r="DX32" s="640">
        <f>DW32-DV32</f>
        <v>0</v>
      </c>
      <c r="DY32" s="482">
        <f>IF(DX32=0,0,DX32/ABS(DV32))</f>
        <v>0</v>
      </c>
    </row>
    <row r="33" spans="2:153" s="208" customFormat="1" x14ac:dyDescent="0.2">
      <c r="B33" s="1364" t="s">
        <v>582</v>
      </c>
      <c r="C33" s="663">
        <f>'6 Muuttuvat kustannukset'!D11</f>
        <v>0</v>
      </c>
      <c r="D33" s="210"/>
      <c r="E33" s="225"/>
      <c r="F33" s="662">
        <f>IF(E25=0,0,C33/$E$25)</f>
        <v>0</v>
      </c>
      <c r="G33" s="1595"/>
      <c r="H33" s="210"/>
      <c r="I33" s="225"/>
      <c r="J33" s="662">
        <f>IF(I25=0,0,G33/$I$25)</f>
        <v>0</v>
      </c>
      <c r="K33" s="663">
        <f>G33-C33</f>
        <v>0</v>
      </c>
      <c r="L33" s="210"/>
      <c r="M33" s="308"/>
      <c r="N33" s="662">
        <f>IF(K33=0,0,K33/C33)</f>
        <v>0</v>
      </c>
      <c r="P33" s="1364" t="s">
        <v>582</v>
      </c>
      <c r="Q33" s="663">
        <f>'6 Muuttuvat kustannukset'!G11</f>
        <v>0</v>
      </c>
      <c r="R33" s="210"/>
      <c r="S33" s="225"/>
      <c r="T33" s="662">
        <f>IF(S25=0,0,Q33/$S$25)</f>
        <v>0</v>
      </c>
      <c r="U33" s="1595"/>
      <c r="V33" s="210"/>
      <c r="W33" s="225"/>
      <c r="X33" s="662">
        <f>IF(W25=0,0,U33/$W$25)</f>
        <v>0</v>
      </c>
      <c r="Y33" s="663">
        <f>U33-Q33</f>
        <v>0</v>
      </c>
      <c r="Z33" s="210"/>
      <c r="AA33" s="308"/>
      <c r="AB33" s="662">
        <f>IF(Y33=0,0,Y33/Q33)</f>
        <v>0</v>
      </c>
      <c r="AD33" s="1364" t="s">
        <v>582</v>
      </c>
      <c r="AE33" s="663">
        <f>'6 Muuttuvat kustannukset'!J11</f>
        <v>0</v>
      </c>
      <c r="AF33" s="210"/>
      <c r="AG33" s="225"/>
      <c r="AH33" s="662">
        <f>IF(AG25=0,0,AE33/$AG$25)</f>
        <v>0</v>
      </c>
      <c r="AI33" s="1595"/>
      <c r="AJ33" s="210"/>
      <c r="AK33" s="225"/>
      <c r="AL33" s="662">
        <f>IF(AK25=0,0,AI33/$AK$25)</f>
        <v>0</v>
      </c>
      <c r="AM33" s="663">
        <f t="shared" si="102"/>
        <v>0</v>
      </c>
      <c r="AN33" s="210"/>
      <c r="AO33" s="308"/>
      <c r="AP33" s="662">
        <f t="shared" si="103"/>
        <v>0</v>
      </c>
      <c r="AR33" s="1364" t="s">
        <v>582</v>
      </c>
      <c r="AS33" s="663">
        <f>'6 Muuttuvat kustannukset'!M11</f>
        <v>0</v>
      </c>
      <c r="AT33" s="210"/>
      <c r="AU33" s="225"/>
      <c r="AV33" s="662">
        <f>IF(AU25=0,0,AS33/$AU$25)</f>
        <v>0</v>
      </c>
      <c r="AW33" s="1595"/>
      <c r="AX33" s="210"/>
      <c r="AY33" s="225"/>
      <c r="AZ33" s="662">
        <f>IF(AY25=0,0,AW33/$AY$25)</f>
        <v>0</v>
      </c>
      <c r="BA33" s="663">
        <f t="shared" si="104"/>
        <v>0</v>
      </c>
      <c r="BB33" s="210"/>
      <c r="BC33" s="308"/>
      <c r="BD33" s="662">
        <f t="shared" si="105"/>
        <v>0</v>
      </c>
      <c r="BE33" s="314"/>
      <c r="BF33" s="1364" t="s">
        <v>582</v>
      </c>
      <c r="BG33" s="663">
        <f>'6 Muuttuvat kustannukset'!P11</f>
        <v>0</v>
      </c>
      <c r="BH33" s="210"/>
      <c r="BI33" s="225"/>
      <c r="BJ33" s="662">
        <f>IF(BI25=0,0,BG33/$BI$25)</f>
        <v>0</v>
      </c>
      <c r="BK33" s="1595"/>
      <c r="BL33" s="210"/>
      <c r="BM33" s="225"/>
      <c r="BN33" s="662">
        <f>IF(BM25=0,0,BK33/$BM$25)</f>
        <v>0</v>
      </c>
      <c r="BO33" s="663">
        <f t="shared" si="106"/>
        <v>0</v>
      </c>
      <c r="BP33" s="210"/>
      <c r="BQ33" s="308"/>
      <c r="BR33" s="662">
        <f t="shared" si="107"/>
        <v>0</v>
      </c>
      <c r="BS33" s="297"/>
      <c r="BT33" s="1364" t="s">
        <v>582</v>
      </c>
      <c r="BU33" s="663">
        <f>'6 Muuttuvat kustannukset'!S11</f>
        <v>0</v>
      </c>
      <c r="BV33" s="210"/>
      <c r="BW33" s="225"/>
      <c r="BX33" s="662">
        <f>IF(BW25=0,0,BU33/$BW$25)</f>
        <v>0</v>
      </c>
      <c r="BY33" s="1595"/>
      <c r="BZ33" s="210"/>
      <c r="CA33" s="225"/>
      <c r="CB33" s="662">
        <f>IF(CA25=0,0,BY33/$CA$25)</f>
        <v>0</v>
      </c>
      <c r="CC33" s="663">
        <f>BY33-BU33</f>
        <v>0</v>
      </c>
      <c r="CD33" s="210"/>
      <c r="CE33" s="308"/>
      <c r="CF33" s="662">
        <f t="shared" si="109"/>
        <v>0</v>
      </c>
      <c r="CG33"/>
      <c r="CH33" s="1364" t="s">
        <v>582</v>
      </c>
      <c r="CI33" s="663">
        <f>C33+Q33+AE33+AS33+BG33+BU33</f>
        <v>0</v>
      </c>
      <c r="CJ33" s="210"/>
      <c r="CK33" s="225"/>
      <c r="CL33" s="672">
        <f>IF(CK25=0,0,CI33/$CK$25)</f>
        <v>0</v>
      </c>
      <c r="CM33" s="663">
        <f>G33+U33+AI33+AW33+BK33+BY33</f>
        <v>0</v>
      </c>
      <c r="CN33" s="210"/>
      <c r="CO33" s="225"/>
      <c r="CP33" s="672">
        <f>IF(CO25=0,0,CM33/$CO$25)</f>
        <v>0</v>
      </c>
      <c r="CQ33" s="663">
        <f t="shared" si="110"/>
        <v>0</v>
      </c>
      <c r="CR33" s="210"/>
      <c r="CS33" s="308"/>
      <c r="CT33" s="662">
        <f t="shared" si="111"/>
        <v>0</v>
      </c>
      <c r="EN33" s="321"/>
    </row>
    <row r="34" spans="2:153" s="208" customFormat="1" x14ac:dyDescent="0.2">
      <c r="B34" s="1364" t="s">
        <v>164</v>
      </c>
      <c r="C34" s="733"/>
      <c r="D34" s="210"/>
      <c r="E34" s="225"/>
      <c r="F34" s="810"/>
      <c r="G34" s="733"/>
      <c r="H34" s="210"/>
      <c r="I34" s="225"/>
      <c r="J34" s="810"/>
      <c r="K34" s="733"/>
      <c r="L34" s="210"/>
      <c r="M34" s="308"/>
      <c r="N34" s="810"/>
      <c r="P34" s="1364" t="s">
        <v>164</v>
      </c>
      <c r="Q34" s="733"/>
      <c r="R34" s="210"/>
      <c r="S34" s="225"/>
      <c r="T34" s="810"/>
      <c r="U34" s="733"/>
      <c r="V34" s="210"/>
      <c r="W34" s="225"/>
      <c r="X34" s="810"/>
      <c r="Y34" s="733"/>
      <c r="Z34" s="210"/>
      <c r="AA34" s="308"/>
      <c r="AB34" s="810"/>
      <c r="AD34" s="1364" t="s">
        <v>164</v>
      </c>
      <c r="AE34" s="663">
        <f>'6 Muuttuvat kustannukset'!J12</f>
        <v>0</v>
      </c>
      <c r="AF34" s="210"/>
      <c r="AG34" s="225"/>
      <c r="AH34" s="662">
        <f>IF(AG25=0,0,AE34/$AG$25)</f>
        <v>0</v>
      </c>
      <c r="AI34" s="679">
        <f>IF(AE34=0,0,AE34/AE62*AI62)</f>
        <v>0</v>
      </c>
      <c r="AJ34" s="210"/>
      <c r="AK34" s="225"/>
      <c r="AL34" s="662">
        <f>IF(AK25=0,0,AI34/$AK$25)</f>
        <v>0</v>
      </c>
      <c r="AM34" s="663">
        <f t="shared" si="102"/>
        <v>0</v>
      </c>
      <c r="AN34" s="210"/>
      <c r="AO34" s="308"/>
      <c r="AP34" s="662">
        <f t="shared" si="103"/>
        <v>0</v>
      </c>
      <c r="AR34" s="1364" t="s">
        <v>164</v>
      </c>
      <c r="AS34" s="663">
        <f>'6 Muuttuvat kustannukset'!M12</f>
        <v>0</v>
      </c>
      <c r="AT34" s="210"/>
      <c r="AU34" s="225"/>
      <c r="AV34" s="662">
        <f>IF(AU25=0,0,AS34/$AU$25)</f>
        <v>0</v>
      </c>
      <c r="AW34" s="679">
        <f>IF(AS34=0,0,AS34/AS62*AW62)</f>
        <v>0</v>
      </c>
      <c r="AX34" s="210"/>
      <c r="AY34" s="225"/>
      <c r="AZ34" s="662">
        <f>IF(AY25=0,0,AW34/$AY$25)</f>
        <v>0</v>
      </c>
      <c r="BA34" s="663">
        <f t="shared" si="104"/>
        <v>0</v>
      </c>
      <c r="BB34" s="210"/>
      <c r="BC34" s="308"/>
      <c r="BD34" s="662">
        <f t="shared" si="105"/>
        <v>0</v>
      </c>
      <c r="BE34" s="314"/>
      <c r="BF34" s="1364" t="s">
        <v>164</v>
      </c>
      <c r="BG34" s="663">
        <f>'6 Muuttuvat kustannukset'!P12</f>
        <v>0</v>
      </c>
      <c r="BH34" s="210"/>
      <c r="BI34" s="225"/>
      <c r="BJ34" s="662">
        <f>IF(BI25=0,0,BG34/$BI$25)</f>
        <v>0</v>
      </c>
      <c r="BK34" s="679">
        <f>IF(BG34=0,0,BG34/BG62*BK62)</f>
        <v>0</v>
      </c>
      <c r="BL34" s="210"/>
      <c r="BM34" s="225"/>
      <c r="BN34" s="662">
        <f>IF(BM25=0,0,BK34/$BM$25)</f>
        <v>0</v>
      </c>
      <c r="BO34" s="663">
        <f t="shared" si="106"/>
        <v>0</v>
      </c>
      <c r="BP34" s="210"/>
      <c r="BQ34" s="308"/>
      <c r="BR34" s="662">
        <f t="shared" si="107"/>
        <v>0</v>
      </c>
      <c r="BS34" s="297"/>
      <c r="BT34" s="1364" t="s">
        <v>164</v>
      </c>
      <c r="BU34" s="663">
        <f>'6 Muuttuvat kustannukset'!S12</f>
        <v>0</v>
      </c>
      <c r="BV34" s="210"/>
      <c r="BW34" s="225"/>
      <c r="BX34" s="662">
        <f>IF(BW25=0,0,BU34/$BW$25)</f>
        <v>0</v>
      </c>
      <c r="BY34" s="673">
        <f>IF(BU34=0,0,BU34/BU62*BY62)</f>
        <v>0</v>
      </c>
      <c r="BZ34" s="210"/>
      <c r="CA34" s="225"/>
      <c r="CB34" s="662">
        <f>IF(CA25=0,0,BY34/$CA$25)</f>
        <v>0</v>
      </c>
      <c r="CC34" s="663">
        <f t="shared" si="108"/>
        <v>0</v>
      </c>
      <c r="CD34" s="210"/>
      <c r="CE34" s="308"/>
      <c r="CF34" s="662">
        <f t="shared" si="109"/>
        <v>0</v>
      </c>
      <c r="CG34"/>
      <c r="CH34" s="1364" t="s">
        <v>164</v>
      </c>
      <c r="CI34" s="663">
        <f>AE34+AS34+BG34+BU34</f>
        <v>0</v>
      </c>
      <c r="CJ34" s="210"/>
      <c r="CK34" s="225"/>
      <c r="CL34" s="672">
        <f>IF(CK25=0,0,CI34/$CK$25)</f>
        <v>0</v>
      </c>
      <c r="CM34" s="663">
        <f>AI34+AW34+BK34+BY34</f>
        <v>0</v>
      </c>
      <c r="CN34" s="210"/>
      <c r="CO34" s="225"/>
      <c r="CP34" s="672">
        <f>IF(CO25=0,0,CM34/$CO$25)</f>
        <v>0</v>
      </c>
      <c r="CQ34" s="663">
        <f t="shared" si="110"/>
        <v>0</v>
      </c>
      <c r="CR34" s="210"/>
      <c r="CS34" s="308"/>
      <c r="CT34" s="662">
        <f t="shared" si="111"/>
        <v>0</v>
      </c>
      <c r="CX34" s="239"/>
      <c r="CY34" s="239"/>
      <c r="CZ34" s="239"/>
      <c r="DJ34" s="239"/>
      <c r="DK34" s="239"/>
      <c r="DL34" s="239"/>
      <c r="DR34" s="239"/>
      <c r="DS34" s="239"/>
      <c r="DT34" s="239"/>
      <c r="DV34" s="239"/>
      <c r="DW34" s="239"/>
      <c r="DX34" s="239"/>
      <c r="EN34" s="321"/>
      <c r="EO34" s="322"/>
    </row>
    <row r="35" spans="2:153" s="208" customFormat="1" x14ac:dyDescent="0.2">
      <c r="B35" s="1406" t="s">
        <v>236</v>
      </c>
      <c r="C35" s="3"/>
      <c r="D35" s="525">
        <f>SUM(C37:C38)</f>
        <v>0</v>
      </c>
      <c r="E35" s="224"/>
      <c r="F35" s="662">
        <f>IF(E25=0,0,D35/$E$25)</f>
        <v>0</v>
      </c>
      <c r="G35" s="4"/>
      <c r="H35" s="525">
        <f>SUM(G37:G38)</f>
        <v>0</v>
      </c>
      <c r="I35" s="224"/>
      <c r="J35" s="662">
        <f>IF(I25=0,0,H35/$I$25)</f>
        <v>0</v>
      </c>
      <c r="K35" s="3"/>
      <c r="L35" s="525">
        <f>H35-D35</f>
        <v>0</v>
      </c>
      <c r="M35" s="307"/>
      <c r="N35" s="662">
        <f>IF(L35=0,0,L35/D35)</f>
        <v>0</v>
      </c>
      <c r="P35" s="1406" t="s">
        <v>236</v>
      </c>
      <c r="Q35" s="3"/>
      <c r="R35" s="525">
        <f>SUM(Q37:Q38)</f>
        <v>0</v>
      </c>
      <c r="S35" s="224"/>
      <c r="T35" s="662">
        <f>IF(S25=0,0,R35/$S$25)</f>
        <v>0</v>
      </c>
      <c r="U35" s="4"/>
      <c r="V35" s="525">
        <f>SUM(U37:U38)</f>
        <v>0</v>
      </c>
      <c r="W35" s="224"/>
      <c r="X35" s="662">
        <f>IF(W25=0,0,V35/$W$25)</f>
        <v>0</v>
      </c>
      <c r="Y35" s="3"/>
      <c r="Z35" s="525">
        <f>V35-R35</f>
        <v>0</v>
      </c>
      <c r="AA35" s="307"/>
      <c r="AB35" s="662">
        <f>IF(Z35=0,0,Z35/R35)</f>
        <v>0</v>
      </c>
      <c r="AD35" s="1406" t="s">
        <v>236</v>
      </c>
      <c r="AE35" s="3"/>
      <c r="AF35" s="525">
        <f>SUM(AE36:AE39)</f>
        <v>0</v>
      </c>
      <c r="AG35" s="224"/>
      <c r="AH35" s="662">
        <f>IF(AG25=0,0,AF35/$AG$25)</f>
        <v>0</v>
      </c>
      <c r="AI35" s="4"/>
      <c r="AJ35" s="525">
        <f>SUM(AI36:AI39)</f>
        <v>0</v>
      </c>
      <c r="AK35" s="224"/>
      <c r="AL35" s="662">
        <f>IF(AK25=0,0,AJ35/$AK$25)</f>
        <v>0</v>
      </c>
      <c r="AM35" s="3"/>
      <c r="AN35" s="525">
        <f>AJ35-AF35</f>
        <v>0</v>
      </c>
      <c r="AO35" s="307"/>
      <c r="AP35" s="662">
        <f>IF(AN35=0,0,AN35/AF35)</f>
        <v>0</v>
      </c>
      <c r="AR35" s="1406" t="s">
        <v>236</v>
      </c>
      <c r="AS35" s="3"/>
      <c r="AT35" s="525">
        <f>SUM(AS36:AS39)</f>
        <v>0</v>
      </c>
      <c r="AU35" s="224"/>
      <c r="AV35" s="662">
        <f>IF(AU25=0,0,AT35/$AU$25)</f>
        <v>0</v>
      </c>
      <c r="AW35" s="4"/>
      <c r="AX35" s="525">
        <f>SUM(AW36:AW39)</f>
        <v>0</v>
      </c>
      <c r="AY35" s="224"/>
      <c r="AZ35" s="662">
        <f>IF(AY25=0,0,AX35/$AY$25)</f>
        <v>0</v>
      </c>
      <c r="BA35" s="3"/>
      <c r="BB35" s="525">
        <f>AX35-AT35</f>
        <v>0</v>
      </c>
      <c r="BC35" s="307"/>
      <c r="BD35" s="662">
        <f>IF(BB35=0,0,BB35/AT35)</f>
        <v>0</v>
      </c>
      <c r="BE35" s="314"/>
      <c r="BF35" s="1406" t="s">
        <v>236</v>
      </c>
      <c r="BG35" s="3"/>
      <c r="BH35" s="525">
        <f>SUM(BG36:BG39)</f>
        <v>0</v>
      </c>
      <c r="BI35" s="224"/>
      <c r="BJ35" s="662">
        <f>IF(BI25=0,0,BH35/$BI$25)</f>
        <v>0</v>
      </c>
      <c r="BK35" s="4"/>
      <c r="BL35" s="525">
        <f>SUM(BK36:BK39)</f>
        <v>0</v>
      </c>
      <c r="BM35" s="224"/>
      <c r="BN35" s="662">
        <f>IF(BM25=0,0,BL35/$BM$25)</f>
        <v>0</v>
      </c>
      <c r="BO35" s="3"/>
      <c r="BP35" s="525">
        <f>BL35-BH35</f>
        <v>0</v>
      </c>
      <c r="BQ35" s="307"/>
      <c r="BR35" s="662">
        <f>IF(BP35=0,0,BP35/BH35)</f>
        <v>0</v>
      </c>
      <c r="BS35" s="297"/>
      <c r="BT35" s="1406" t="s">
        <v>236</v>
      </c>
      <c r="BU35" s="231"/>
      <c r="BV35" s="676">
        <f>SUM(BU36:BU39)</f>
        <v>0</v>
      </c>
      <c r="BW35" s="225"/>
      <c r="BX35" s="662">
        <f>IF(BW25=0,0,BV35/$BW$25)</f>
        <v>0</v>
      </c>
      <c r="BY35" s="359"/>
      <c r="BZ35" s="676">
        <f>SUM(BY36:BY39)</f>
        <v>0</v>
      </c>
      <c r="CA35" s="225"/>
      <c r="CB35" s="662">
        <f>IF(CA25=0,0,BZ35/$CA$25)</f>
        <v>0</v>
      </c>
      <c r="CC35" s="231"/>
      <c r="CD35" s="676">
        <f>BZ35-BV35</f>
        <v>0</v>
      </c>
      <c r="CE35" s="308"/>
      <c r="CF35" s="662">
        <f>IF(CD35=0,0,CD35/BV35)</f>
        <v>0</v>
      </c>
      <c r="CG35"/>
      <c r="CH35" s="1406" t="s">
        <v>236</v>
      </c>
      <c r="CI35" s="231"/>
      <c r="CJ35" s="676">
        <f>SUM(CI36:CI39)</f>
        <v>0</v>
      </c>
      <c r="CK35" s="225"/>
      <c r="CL35" s="672">
        <f>IF(CK25=0,0,CJ35/$CK$25)</f>
        <v>0</v>
      </c>
      <c r="CM35" s="231"/>
      <c r="CN35" s="676">
        <f>SUM(CM36:CM39)</f>
        <v>0</v>
      </c>
      <c r="CO35" s="225"/>
      <c r="CP35" s="672">
        <f>IF(CO25=0,0,CN35/$CO$25)</f>
        <v>0</v>
      </c>
      <c r="CQ35" s="231"/>
      <c r="CR35" s="676">
        <f>CN35-CJ35</f>
        <v>0</v>
      </c>
      <c r="CS35" s="308"/>
      <c r="CT35" s="662">
        <f>IF(CR35=0,0,CR35/CJ35)</f>
        <v>0</v>
      </c>
      <c r="CX35" s="239"/>
      <c r="CY35" s="239"/>
      <c r="CZ35" s="239"/>
      <c r="DJ35" s="239"/>
      <c r="DK35" s="239"/>
      <c r="DL35" s="239"/>
      <c r="DR35" s="239"/>
      <c r="DS35" s="239"/>
      <c r="DT35" s="239"/>
      <c r="DV35" s="239"/>
      <c r="DW35" s="239"/>
      <c r="DX35" s="239"/>
      <c r="EA35" s="321"/>
      <c r="EB35" s="321"/>
      <c r="EC35" s="321"/>
      <c r="ED35" s="321"/>
      <c r="EE35" s="321"/>
      <c r="EF35" s="321"/>
      <c r="EG35" s="321"/>
      <c r="EH35" s="321"/>
      <c r="EI35" s="321"/>
      <c r="EJ35" s="321"/>
      <c r="EK35" s="321"/>
      <c r="EL35" s="321"/>
      <c r="EM35" s="321"/>
      <c r="EN35" s="321"/>
      <c r="EO35" s="322"/>
      <c r="ER35" s="297"/>
    </row>
    <row r="36" spans="2:153" x14ac:dyDescent="0.2">
      <c r="B36" s="1364" t="s">
        <v>163</v>
      </c>
      <c r="C36" s="732"/>
      <c r="D36" s="210"/>
      <c r="E36" s="225"/>
      <c r="F36" s="810"/>
      <c r="G36" s="732"/>
      <c r="H36" s="210"/>
      <c r="I36" s="225"/>
      <c r="J36" s="810"/>
      <c r="K36" s="732"/>
      <c r="L36" s="210"/>
      <c r="M36" s="308"/>
      <c r="N36" s="810"/>
      <c r="P36" s="1364" t="s">
        <v>163</v>
      </c>
      <c r="Q36" s="732"/>
      <c r="R36" s="210"/>
      <c r="S36" s="225"/>
      <c r="T36" s="810"/>
      <c r="U36" s="732"/>
      <c r="V36" s="210"/>
      <c r="W36" s="225"/>
      <c r="X36" s="810"/>
      <c r="Y36" s="732"/>
      <c r="Z36" s="210"/>
      <c r="AA36" s="308"/>
      <c r="AB36" s="810"/>
      <c r="AD36" s="1364" t="s">
        <v>163</v>
      </c>
      <c r="AE36" s="663">
        <f>'6 Muuttuvat kustannukset'!J14</f>
        <v>0</v>
      </c>
      <c r="AF36" s="210"/>
      <c r="AG36" s="225"/>
      <c r="AH36" s="662">
        <f>IF(AG25=0,0,AE36/$AG$25)</f>
        <v>0</v>
      </c>
      <c r="AI36" s="663">
        <f>IF(AE36=0,0,AE36/AE62*AI62)</f>
        <v>0</v>
      </c>
      <c r="AJ36" s="210"/>
      <c r="AK36" s="225"/>
      <c r="AL36" s="662">
        <f>IF(AK25=0,0,AI36/$AK$25)</f>
        <v>0</v>
      </c>
      <c r="AM36" s="663">
        <f>AI36-AE36</f>
        <v>0</v>
      </c>
      <c r="AN36" s="210"/>
      <c r="AO36" s="308"/>
      <c r="AP36" s="662">
        <f>IF(AM36=0,0,AM36/AE36)</f>
        <v>0</v>
      </c>
      <c r="AR36" s="1364" t="s">
        <v>163</v>
      </c>
      <c r="AS36" s="663">
        <f>'6 Muuttuvat kustannukset'!M14</f>
        <v>0</v>
      </c>
      <c r="AT36" s="210"/>
      <c r="AU36" s="225"/>
      <c r="AV36" s="662">
        <f>IF(AU25=0,0,AS36/$AU$25)</f>
        <v>0</v>
      </c>
      <c r="AW36" s="663">
        <f>IF(AS36=0,0,AS36/AS62*AW62)</f>
        <v>0</v>
      </c>
      <c r="AX36" s="210"/>
      <c r="AY36" s="225"/>
      <c r="AZ36" s="662">
        <f>IF(AY25=0,0,AW36/$AY$25)</f>
        <v>0</v>
      </c>
      <c r="BA36" s="663">
        <f>AW36-AS36</f>
        <v>0</v>
      </c>
      <c r="BB36" s="210"/>
      <c r="BC36" s="308"/>
      <c r="BD36" s="662">
        <f>IF(BA36=0,0,BA36/AS36)</f>
        <v>0</v>
      </c>
      <c r="BE36" s="314"/>
      <c r="BF36" s="1364" t="s">
        <v>163</v>
      </c>
      <c r="BG36" s="663">
        <f>'6 Muuttuvat kustannukset'!P14</f>
        <v>0</v>
      </c>
      <c r="BH36" s="210"/>
      <c r="BI36" s="225"/>
      <c r="BJ36" s="662">
        <f>IF(BI25=0,0,BG36/$BI$25)</f>
        <v>0</v>
      </c>
      <c r="BK36" s="663">
        <f>IF(BG36=0,0,BG36/BG62*BK62)</f>
        <v>0</v>
      </c>
      <c r="BL36" s="210"/>
      <c r="BM36" s="225"/>
      <c r="BN36" s="662">
        <f>IF(BM25=0,0,BK36/$BM$25)</f>
        <v>0</v>
      </c>
      <c r="BO36" s="663">
        <f>BK36-BG36</f>
        <v>0</v>
      </c>
      <c r="BP36" s="210"/>
      <c r="BQ36" s="308"/>
      <c r="BR36" s="662">
        <f>IF(BO36=0,0,BO36/BG36)</f>
        <v>0</v>
      </c>
      <c r="BS36" s="297"/>
      <c r="BT36" s="1364" t="s">
        <v>163</v>
      </c>
      <c r="BU36" s="663">
        <f>'6 Muuttuvat kustannukset'!S14</f>
        <v>0</v>
      </c>
      <c r="BV36" s="210"/>
      <c r="BW36" s="225"/>
      <c r="BX36" s="662">
        <f>IF(BW25=0,0,BU36/$BW$25)</f>
        <v>0</v>
      </c>
      <c r="BY36" s="663">
        <f>IF(BU36=0,0,BU36/BU62*BY62)</f>
        <v>0</v>
      </c>
      <c r="BZ36" s="210"/>
      <c r="CA36" s="225"/>
      <c r="CB36" s="662">
        <f>IF(CA25=0,0,BY36/$CA$25)</f>
        <v>0</v>
      </c>
      <c r="CC36" s="663">
        <f>BY36-BU36</f>
        <v>0</v>
      </c>
      <c r="CD36" s="210"/>
      <c r="CE36" s="308"/>
      <c r="CF36" s="662">
        <f>IF(CC36=0,0,CC36/BU36)</f>
        <v>0</v>
      </c>
      <c r="CH36" s="1364" t="s">
        <v>163</v>
      </c>
      <c r="CI36" s="663">
        <f>AE36+AS36+BG36+BU36</f>
        <v>0</v>
      </c>
      <c r="CJ36" s="210"/>
      <c r="CK36" s="225"/>
      <c r="CL36" s="672">
        <f>IF(CK25=0,0,CI36/$CK$25)</f>
        <v>0</v>
      </c>
      <c r="CM36" s="663">
        <f>AI36+AW36+BK36+BY36</f>
        <v>0</v>
      </c>
      <c r="CN36" s="210"/>
      <c r="CO36" s="225"/>
      <c r="CP36" s="672">
        <f>IF(CO25=0,0,CM36/$CO$25)</f>
        <v>0</v>
      </c>
      <c r="CQ36" s="663">
        <f>CM36-CI36</f>
        <v>0</v>
      </c>
      <c r="CR36" s="210"/>
      <c r="CS36" s="308"/>
      <c r="CT36" s="662">
        <f>IF(CQ36=0,0,CQ36/CI36)</f>
        <v>0</v>
      </c>
      <c r="EN36" s="325"/>
      <c r="EP36" s="27"/>
      <c r="ER36" s="297"/>
    </row>
    <row r="37" spans="2:153" s="208" customFormat="1" x14ac:dyDescent="0.2">
      <c r="B37" s="1364" t="s">
        <v>162</v>
      </c>
      <c r="C37" s="663">
        <f>'6 Muuttuvat kustannukset'!D17</f>
        <v>0</v>
      </c>
      <c r="D37" s="210"/>
      <c r="E37" s="225"/>
      <c r="F37" s="662">
        <f>IF(E25=0,0,C37/$E$25)</f>
        <v>0</v>
      </c>
      <c r="G37" s="679">
        <f>IF(C23=0,0,C37/C23*G23)</f>
        <v>0</v>
      </c>
      <c r="H37" s="210"/>
      <c r="I37" s="225"/>
      <c r="J37" s="662">
        <f>IF(I25=0,0,G37/$I$25)</f>
        <v>0</v>
      </c>
      <c r="K37" s="663">
        <f>G37-C37</f>
        <v>0</v>
      </c>
      <c r="L37" s="210"/>
      <c r="M37" s="308"/>
      <c r="N37" s="662">
        <f>IF(K37=0,0,K37/C37)</f>
        <v>0</v>
      </c>
      <c r="P37" s="1364" t="s">
        <v>162</v>
      </c>
      <c r="Q37" s="663">
        <f>'6 Muuttuvat kustannukset'!G17</f>
        <v>0</v>
      </c>
      <c r="R37" s="210"/>
      <c r="S37" s="225"/>
      <c r="T37" s="662">
        <f>IF(S25=0,0,Q37/$S$25)</f>
        <v>0</v>
      </c>
      <c r="U37" s="679">
        <f>IF(Q23=0,0,Q37/Q23*U23)</f>
        <v>0</v>
      </c>
      <c r="V37" s="210"/>
      <c r="W37" s="225"/>
      <c r="X37" s="662">
        <f>IF(W25=0,0,U37/$W$25)</f>
        <v>0</v>
      </c>
      <c r="Y37" s="663">
        <f>U37-Q37</f>
        <v>0</v>
      </c>
      <c r="Z37" s="210"/>
      <c r="AA37" s="308"/>
      <c r="AB37" s="662">
        <f>IF(Y37=0,0,Y37/Q37)</f>
        <v>0</v>
      </c>
      <c r="AD37" s="1364" t="s">
        <v>162</v>
      </c>
      <c r="AE37" s="663">
        <f>'6 Muuttuvat kustannukset'!J17</f>
        <v>0</v>
      </c>
      <c r="AF37" s="210"/>
      <c r="AG37" s="225"/>
      <c r="AH37" s="662">
        <f>IF(AG25=0,0,AE37/$AG$25)</f>
        <v>0</v>
      </c>
      <c r="AI37" s="679">
        <f>IF(AE23=0,0,AE37/AE23*AI23)</f>
        <v>0</v>
      </c>
      <c r="AJ37" s="210"/>
      <c r="AK37" s="225"/>
      <c r="AL37" s="662">
        <f>IF(AK25=0,0,AI37/$AK$25)</f>
        <v>0</v>
      </c>
      <c r="AM37" s="663">
        <f>AI37-AE37</f>
        <v>0</v>
      </c>
      <c r="AN37" s="210"/>
      <c r="AO37" s="308"/>
      <c r="AP37" s="662">
        <f>IF(AM37=0,0,AM37/AE37)</f>
        <v>0</v>
      </c>
      <c r="AR37" s="1364" t="s">
        <v>162</v>
      </c>
      <c r="AS37" s="663">
        <f>'6 Muuttuvat kustannukset'!M17</f>
        <v>0</v>
      </c>
      <c r="AT37" s="210"/>
      <c r="AU37" s="225"/>
      <c r="AV37" s="662">
        <f>IF(AU25=0,0,AS37/$AU$25)</f>
        <v>0</v>
      </c>
      <c r="AW37" s="679">
        <f>IF(AS23=0,0,AS37/AS23*AW23)</f>
        <v>0</v>
      </c>
      <c r="AX37" s="210"/>
      <c r="AY37" s="225"/>
      <c r="AZ37" s="662">
        <f>IF(AY25=0,0,AW37/$AY$25)</f>
        <v>0</v>
      </c>
      <c r="BA37" s="663">
        <f>AW37-AS37</f>
        <v>0</v>
      </c>
      <c r="BB37" s="210"/>
      <c r="BC37" s="308"/>
      <c r="BD37" s="662">
        <f>IF(BA37=0,0,BA37/AS37)</f>
        <v>0</v>
      </c>
      <c r="BE37" s="314"/>
      <c r="BF37" s="1364" t="s">
        <v>162</v>
      </c>
      <c r="BG37" s="663">
        <f>'6 Muuttuvat kustannukset'!P17</f>
        <v>0</v>
      </c>
      <c r="BH37" s="210"/>
      <c r="BI37" s="225"/>
      <c r="BJ37" s="662">
        <f>IF(BI25=0,0,BG37/$BI$25)</f>
        <v>0</v>
      </c>
      <c r="BK37" s="679">
        <f>IF(BG23=0,0,BG37/BG23*BK23)</f>
        <v>0</v>
      </c>
      <c r="BL37" s="210"/>
      <c r="BM37" s="225"/>
      <c r="BN37" s="662">
        <f>IF(BM25=0,0,BK37/$BM$25)</f>
        <v>0</v>
      </c>
      <c r="BO37" s="663">
        <f>BK37-BG37</f>
        <v>0</v>
      </c>
      <c r="BP37" s="210"/>
      <c r="BQ37" s="308"/>
      <c r="BR37" s="662">
        <f>IF(BO37=0,0,BO37/BG37)</f>
        <v>0</v>
      </c>
      <c r="BS37" s="297"/>
      <c r="BT37" s="1364" t="s">
        <v>162</v>
      </c>
      <c r="BU37" s="663">
        <f>'6 Muuttuvat kustannukset'!S17</f>
        <v>0</v>
      </c>
      <c r="BV37" s="210"/>
      <c r="BW37" s="225"/>
      <c r="BX37" s="662">
        <f>IF(BW25=0,0,BU37/$BW$25)</f>
        <v>0</v>
      </c>
      <c r="BY37" s="679">
        <f>IF(BU23=0,0,BU37/BU23*BY23)</f>
        <v>0</v>
      </c>
      <c r="BZ37" s="210"/>
      <c r="CA37" s="225"/>
      <c r="CB37" s="662">
        <f>IF(CA25=0,0,BY37/$CA$25)</f>
        <v>0</v>
      </c>
      <c r="CC37" s="663">
        <f>BY37-BU37</f>
        <v>0</v>
      </c>
      <c r="CD37" s="210"/>
      <c r="CE37" s="308"/>
      <c r="CF37" s="662">
        <f>IF(CC37=0,0,CC37/BU37)</f>
        <v>0</v>
      </c>
      <c r="CG37"/>
      <c r="CH37" s="1364" t="s">
        <v>162</v>
      </c>
      <c r="CI37" s="663">
        <f>C37+Q37+AE37+AS37+BG37+BU37</f>
        <v>0</v>
      </c>
      <c r="CJ37" s="210"/>
      <c r="CK37" s="225"/>
      <c r="CL37" s="672">
        <f>IF(CK25=0,0,CI37/$CK$25)</f>
        <v>0</v>
      </c>
      <c r="CM37" s="663">
        <f>G37+U37+AI37+AW37+BK37+BY37</f>
        <v>0</v>
      </c>
      <c r="CN37" s="210"/>
      <c r="CO37" s="225"/>
      <c r="CP37" s="672">
        <f>IF(CO25=0,0,CM37/$CO$25)</f>
        <v>0</v>
      </c>
      <c r="CQ37" s="663">
        <f>CM37-CI37</f>
        <v>0</v>
      </c>
      <c r="CR37" s="210"/>
      <c r="CS37" s="308"/>
      <c r="CT37" s="662">
        <f>IF(CQ37=0,0,CQ37/CI37)</f>
        <v>0</v>
      </c>
      <c r="CX37" s="239"/>
      <c r="CY37" s="239"/>
      <c r="CZ37" s="239"/>
      <c r="DD37" s="819"/>
      <c r="DJ37" s="239"/>
      <c r="DK37" s="239"/>
      <c r="DL37" s="239"/>
      <c r="DR37" s="239"/>
      <c r="DS37" s="239"/>
      <c r="DT37" s="239"/>
      <c r="DV37" s="239"/>
      <c r="DW37" s="239"/>
      <c r="DX37" s="239"/>
      <c r="EN37" s="321"/>
      <c r="EO37" s="322"/>
      <c r="ER37" s="297"/>
    </row>
    <row r="38" spans="2:153" s="208" customFormat="1" ht="13.5" customHeight="1" x14ac:dyDescent="0.2">
      <c r="B38" s="1364" t="s">
        <v>582</v>
      </c>
      <c r="C38" s="663">
        <f>'6 Muuttuvat kustannukset'!D21</f>
        <v>0</v>
      </c>
      <c r="D38" s="210"/>
      <c r="E38" s="225"/>
      <c r="F38" s="662">
        <f>IF(E25=0,0,C38/$E$25)</f>
        <v>0</v>
      </c>
      <c r="G38" s="1595"/>
      <c r="H38" s="210"/>
      <c r="I38" s="225"/>
      <c r="J38" s="662">
        <f>IF(I25=0,0,G38/$I$25)</f>
        <v>0</v>
      </c>
      <c r="K38" s="663">
        <f>G38-C38</f>
        <v>0</v>
      </c>
      <c r="L38" s="210"/>
      <c r="M38" s="308"/>
      <c r="N38" s="662">
        <f>IF(K38=0,0,K38/C38)</f>
        <v>0</v>
      </c>
      <c r="P38" s="1364" t="s">
        <v>582</v>
      </c>
      <c r="Q38" s="663">
        <f>'6 Muuttuvat kustannukset'!G21</f>
        <v>0</v>
      </c>
      <c r="R38" s="210"/>
      <c r="S38" s="225"/>
      <c r="T38" s="662">
        <f>IF(S25=0,0,Q38/$S$25)</f>
        <v>0</v>
      </c>
      <c r="U38" s="1595"/>
      <c r="V38" s="210"/>
      <c r="W38" s="225"/>
      <c r="X38" s="662">
        <f>IF(W25=0,0,U38/$W$25)</f>
        <v>0</v>
      </c>
      <c r="Y38" s="663">
        <f>U38-Q38</f>
        <v>0</v>
      </c>
      <c r="Z38" s="210"/>
      <c r="AA38" s="308"/>
      <c r="AB38" s="662">
        <f>IF(Y38=0,0,Y38/Q38)</f>
        <v>0</v>
      </c>
      <c r="AD38" s="1364" t="s">
        <v>582</v>
      </c>
      <c r="AE38" s="663">
        <f>'6 Muuttuvat kustannukset'!J21</f>
        <v>0</v>
      </c>
      <c r="AF38" s="210"/>
      <c r="AG38" s="225"/>
      <c r="AH38" s="662">
        <f>IF(AG25=0,0,AE38/$AG$25)</f>
        <v>0</v>
      </c>
      <c r="AI38" s="1595"/>
      <c r="AJ38" s="210"/>
      <c r="AK38" s="225"/>
      <c r="AL38" s="662">
        <f>IF(AK25=0,0,AI38/$AK$25)</f>
        <v>0</v>
      </c>
      <c r="AM38" s="663">
        <f>AI38-AE38</f>
        <v>0</v>
      </c>
      <c r="AN38" s="210"/>
      <c r="AO38" s="308"/>
      <c r="AP38" s="662">
        <f>IF(AM38=0,0,AM38/AE38)</f>
        <v>0</v>
      </c>
      <c r="AR38" s="1364" t="s">
        <v>582</v>
      </c>
      <c r="AS38" s="663">
        <f>'6 Muuttuvat kustannukset'!M21</f>
        <v>0</v>
      </c>
      <c r="AT38" s="210"/>
      <c r="AU38" s="225"/>
      <c r="AV38" s="662">
        <f>IF(AU25=0,0,AS38/$AU$25)</f>
        <v>0</v>
      </c>
      <c r="AW38" s="1595"/>
      <c r="AX38" s="210"/>
      <c r="AY38" s="225"/>
      <c r="AZ38" s="662">
        <f>IF(AY25=0,0,AW38/$AY$25)</f>
        <v>0</v>
      </c>
      <c r="BA38" s="663">
        <f>AW38-AS38</f>
        <v>0</v>
      </c>
      <c r="BB38" s="210"/>
      <c r="BC38" s="308"/>
      <c r="BD38" s="662">
        <f>IF(BA38=0,0,BA38/AS38)</f>
        <v>0</v>
      </c>
      <c r="BE38" s="314"/>
      <c r="BF38" s="1364" t="s">
        <v>582</v>
      </c>
      <c r="BG38" s="663">
        <f>'6 Muuttuvat kustannukset'!P21</f>
        <v>0</v>
      </c>
      <c r="BH38" s="210"/>
      <c r="BI38" s="225"/>
      <c r="BJ38" s="662">
        <f>IF(BI25=0,0,BG38/$BI$25)</f>
        <v>0</v>
      </c>
      <c r="BK38" s="1595"/>
      <c r="BL38" s="210"/>
      <c r="BM38" s="225"/>
      <c r="BN38" s="662">
        <f>IF(BM25=0,0,BK38/$BM$25)</f>
        <v>0</v>
      </c>
      <c r="BO38" s="663">
        <f>BK38-BG38</f>
        <v>0</v>
      </c>
      <c r="BP38" s="210"/>
      <c r="BQ38" s="308"/>
      <c r="BR38" s="662">
        <f>IF(BO38=0,0,BO38/BG38)</f>
        <v>0</v>
      </c>
      <c r="BS38" s="297"/>
      <c r="BT38" s="1364" t="s">
        <v>582</v>
      </c>
      <c r="BU38" s="663">
        <f>'6 Muuttuvat kustannukset'!S21</f>
        <v>0</v>
      </c>
      <c r="BV38" s="210"/>
      <c r="BW38" s="225"/>
      <c r="BX38" s="662">
        <f>IF(BW25=0,0,BU38/$BW$25)</f>
        <v>0</v>
      </c>
      <c r="BY38" s="1595"/>
      <c r="BZ38" s="210"/>
      <c r="CA38" s="225"/>
      <c r="CB38" s="662">
        <f>IF(CA25=0,0,BY38/$CA$25)</f>
        <v>0</v>
      </c>
      <c r="CC38" s="663">
        <f>BY38-BU38</f>
        <v>0</v>
      </c>
      <c r="CD38" s="210"/>
      <c r="CE38" s="308"/>
      <c r="CF38" s="662">
        <f>IF(CC38=0,0,CC38/BU38)</f>
        <v>0</v>
      </c>
      <c r="CG38"/>
      <c r="CH38" s="1364" t="s">
        <v>582</v>
      </c>
      <c r="CI38" s="663">
        <f>C38+Q38+AE38+AS38+BG38+BU38</f>
        <v>0</v>
      </c>
      <c r="CJ38" s="210"/>
      <c r="CK38" s="225"/>
      <c r="CL38" s="672">
        <f>IF(CK25=0,0,CI38/$CK$25)</f>
        <v>0</v>
      </c>
      <c r="CM38" s="663">
        <f>G38+U38+AI38+AW38+BK38+BY38</f>
        <v>0</v>
      </c>
      <c r="CN38" s="210"/>
      <c r="CO38" s="225"/>
      <c r="CP38" s="672">
        <f>IF(CO25=0,0,CM38/$CO$25)</f>
        <v>0</v>
      </c>
      <c r="CQ38" s="663">
        <f>CM38-CI38</f>
        <v>0</v>
      </c>
      <c r="CR38" s="210"/>
      <c r="CS38" s="308"/>
      <c r="CT38" s="662">
        <f>IF(CQ38=0,0,CQ38/CI38)</f>
        <v>0</v>
      </c>
      <c r="CX38" s="239"/>
      <c r="CY38" s="239"/>
      <c r="CZ38" s="239"/>
      <c r="DJ38" s="239"/>
      <c r="DK38" s="239"/>
      <c r="DL38" s="239"/>
      <c r="DR38" s="239"/>
      <c r="DS38" s="239"/>
      <c r="DT38" s="239"/>
      <c r="DV38" s="239"/>
      <c r="DW38" s="239"/>
      <c r="DX38" s="239"/>
      <c r="EN38" s="321"/>
      <c r="EO38" s="322"/>
      <c r="ER38" s="297"/>
    </row>
    <row r="39" spans="2:153" s="208" customFormat="1" x14ac:dyDescent="0.2">
      <c r="B39" s="1364" t="s">
        <v>164</v>
      </c>
      <c r="C39" s="733"/>
      <c r="D39" s="210"/>
      <c r="E39" s="225"/>
      <c r="F39" s="810"/>
      <c r="G39" s="733"/>
      <c r="H39" s="210"/>
      <c r="I39" s="225"/>
      <c r="J39" s="810"/>
      <c r="K39" s="733"/>
      <c r="L39" s="210"/>
      <c r="M39" s="308"/>
      <c r="N39" s="810"/>
      <c r="P39" s="1364" t="s">
        <v>164</v>
      </c>
      <c r="Q39" s="733"/>
      <c r="R39" s="210"/>
      <c r="S39" s="225"/>
      <c r="T39" s="810"/>
      <c r="U39" s="733"/>
      <c r="V39" s="210"/>
      <c r="W39" s="225"/>
      <c r="X39" s="810"/>
      <c r="Y39" s="733"/>
      <c r="Z39" s="210"/>
      <c r="AA39" s="308"/>
      <c r="AB39" s="810"/>
      <c r="AD39" s="1364" t="s">
        <v>164</v>
      </c>
      <c r="AE39" s="663">
        <f>'6 Muuttuvat kustannukset'!J23</f>
        <v>0</v>
      </c>
      <c r="AF39" s="210"/>
      <c r="AG39" s="225"/>
      <c r="AH39" s="662">
        <f>IF(AG25=0,0,AE39/$AG$25)</f>
        <v>0</v>
      </c>
      <c r="AI39" s="679">
        <f>IF(AE39=0,0,AE39/AE62*AI62)</f>
        <v>0</v>
      </c>
      <c r="AJ39" s="210"/>
      <c r="AK39" s="225"/>
      <c r="AL39" s="662">
        <f>IF(AK25=0,0,AI39/$AK$25)</f>
        <v>0</v>
      </c>
      <c r="AM39" s="663">
        <f>AI39-AE39</f>
        <v>0</v>
      </c>
      <c r="AN39" s="210"/>
      <c r="AO39" s="308"/>
      <c r="AP39" s="662">
        <f>IF(AM39=0,0,AM39/AE39)</f>
        <v>0</v>
      </c>
      <c r="AR39" s="1364" t="s">
        <v>164</v>
      </c>
      <c r="AS39" s="663">
        <f>'6 Muuttuvat kustannukset'!M23</f>
        <v>0</v>
      </c>
      <c r="AT39" s="210"/>
      <c r="AU39" s="225"/>
      <c r="AV39" s="662">
        <f>IF(AU25=0,0,AS39/$AU$25)</f>
        <v>0</v>
      </c>
      <c r="AW39" s="679">
        <f>IF(AS39=0,0,AS39/AS62*AW62)</f>
        <v>0</v>
      </c>
      <c r="AX39" s="210"/>
      <c r="AY39" s="225"/>
      <c r="AZ39" s="662">
        <f>IF(AY25=0,0,AW39/$AY$25)</f>
        <v>0</v>
      </c>
      <c r="BA39" s="663">
        <f>AW39-AS39</f>
        <v>0</v>
      </c>
      <c r="BB39" s="210"/>
      <c r="BC39" s="308"/>
      <c r="BD39" s="662">
        <f>IF(BA39=0,0,BA39/AS39)</f>
        <v>0</v>
      </c>
      <c r="BE39" s="314"/>
      <c r="BF39" s="1364" t="s">
        <v>164</v>
      </c>
      <c r="BG39" s="663">
        <f>'6 Muuttuvat kustannukset'!P23</f>
        <v>0</v>
      </c>
      <c r="BH39" s="210"/>
      <c r="BI39" s="225"/>
      <c r="BJ39" s="662">
        <f>IF(BI25=0,0,BG39/$BI$25)</f>
        <v>0</v>
      </c>
      <c r="BK39" s="679">
        <f>IF(BG39=0,0,BG39/BG62*BK62)</f>
        <v>0</v>
      </c>
      <c r="BL39" s="210"/>
      <c r="BM39" s="225"/>
      <c r="BN39" s="662">
        <f>IF(BM25=0,0,BK39/$BM$25)</f>
        <v>0</v>
      </c>
      <c r="BO39" s="663">
        <f>BK39-BG39</f>
        <v>0</v>
      </c>
      <c r="BP39" s="210"/>
      <c r="BQ39" s="308"/>
      <c r="BR39" s="662">
        <f>IF(BO39=0,0,BO39/BG39)</f>
        <v>0</v>
      </c>
      <c r="BS39" s="297"/>
      <c r="BT39" s="1364" t="s">
        <v>164</v>
      </c>
      <c r="BU39" s="663">
        <f>'6 Muuttuvat kustannukset'!S23</f>
        <v>0</v>
      </c>
      <c r="BV39" s="210"/>
      <c r="BW39" s="225"/>
      <c r="BX39" s="662">
        <f>IF(BW25=0,0,BU39/$BW$25)</f>
        <v>0</v>
      </c>
      <c r="BY39" s="663">
        <f>IF(BU39=0,0,BU39/BU62*BY62)</f>
        <v>0</v>
      </c>
      <c r="BZ39" s="210"/>
      <c r="CA39" s="225"/>
      <c r="CB39" s="662">
        <f>IF(CA25=0,0,BY39/$CA$25)</f>
        <v>0</v>
      </c>
      <c r="CC39" s="663">
        <f>BY39-BU39</f>
        <v>0</v>
      </c>
      <c r="CD39" s="210"/>
      <c r="CE39" s="308"/>
      <c r="CF39" s="662">
        <f>IF(CC39=0,0,CC39/BU39)</f>
        <v>0</v>
      </c>
      <c r="CG39"/>
      <c r="CH39" s="1364" t="s">
        <v>164</v>
      </c>
      <c r="CI39" s="663">
        <f>AE39+AS39+BG39+BU39</f>
        <v>0</v>
      </c>
      <c r="CJ39" s="210"/>
      <c r="CK39" s="225"/>
      <c r="CL39" s="672">
        <f>IF(CK25=0,0,CI39/$CK$25)</f>
        <v>0</v>
      </c>
      <c r="CM39" s="663">
        <f>AI39+AW39+BK39+BY39</f>
        <v>0</v>
      </c>
      <c r="CN39" s="210"/>
      <c r="CO39" s="225"/>
      <c r="CP39" s="672">
        <f>IF(CO25=0,0,CM39/$CO$25)</f>
        <v>0</v>
      </c>
      <c r="CQ39" s="663">
        <f>CM39-CI39</f>
        <v>0</v>
      </c>
      <c r="CR39" s="210"/>
      <c r="CS39" s="308"/>
      <c r="CT39" s="662">
        <f>IF(CQ39=0,0,CQ39/CI39)</f>
        <v>0</v>
      </c>
      <c r="CX39" s="239"/>
      <c r="CY39" s="239"/>
      <c r="CZ39" s="239"/>
      <c r="DJ39" s="239"/>
      <c r="DK39" s="239"/>
      <c r="DL39" s="239"/>
      <c r="DR39" s="239"/>
      <c r="DS39" s="239"/>
      <c r="DT39" s="239"/>
      <c r="DV39" s="239"/>
      <c r="DW39" s="239"/>
      <c r="DX39" s="239"/>
      <c r="EN39" s="321"/>
      <c r="EO39" s="322"/>
      <c r="ER39" s="297"/>
    </row>
    <row r="40" spans="2:153" s="208" customFormat="1" ht="13.5" thickBot="1" x14ac:dyDescent="0.25">
      <c r="B40" s="1407" t="s">
        <v>165</v>
      </c>
      <c r="C40" s="7"/>
      <c r="D40" s="532">
        <f>'6 Muuttuvat kustannukset'!E26</f>
        <v>0</v>
      </c>
      <c r="E40" s="224"/>
      <c r="F40" s="666">
        <f>IF(E25=0,0,D40/$E$25)</f>
        <v>0</v>
      </c>
      <c r="G40" s="14"/>
      <c r="H40" s="532">
        <f>IF(D40=0,0,D40/C23*G23)</f>
        <v>0</v>
      </c>
      <c r="I40" s="226"/>
      <c r="J40" s="662">
        <f>IF(I25=0,0,H40/$I$25)</f>
        <v>0</v>
      </c>
      <c r="K40" s="7"/>
      <c r="L40" s="532">
        <f>H40-D40</f>
        <v>0</v>
      </c>
      <c r="M40" s="309"/>
      <c r="N40" s="662">
        <f>IF(L40=0,0,L40/D40)</f>
        <v>0</v>
      </c>
      <c r="P40" s="1407" t="s">
        <v>165</v>
      </c>
      <c r="Q40" s="7"/>
      <c r="R40" s="532">
        <f>'6 Muuttuvat kustannukset'!H26</f>
        <v>0</v>
      </c>
      <c r="S40" s="224"/>
      <c r="T40" s="666">
        <f>IF(S25=0,0,R40/$S$25)</f>
        <v>0</v>
      </c>
      <c r="U40" s="14"/>
      <c r="V40" s="532">
        <f>IF(R40=0,0,R40/Q23*U23)</f>
        <v>0</v>
      </c>
      <c r="W40" s="226"/>
      <c r="X40" s="662">
        <f>IF(W25=0,0,V40/$W$25)</f>
        <v>0</v>
      </c>
      <c r="Y40" s="7"/>
      <c r="Z40" s="532">
        <f>V40-R40</f>
        <v>0</v>
      </c>
      <c r="AA40" s="309"/>
      <c r="AB40" s="662">
        <f>IF(Z40=0,0,Z40/R40)</f>
        <v>0</v>
      </c>
      <c r="AD40" s="1407" t="s">
        <v>165</v>
      </c>
      <c r="AE40" s="7"/>
      <c r="AF40" s="532">
        <f>'6 Muuttuvat kustannukset'!K26</f>
        <v>0</v>
      </c>
      <c r="AG40" s="224"/>
      <c r="AH40" s="666">
        <f>IF(AG25=0,0,AF40/$AG$25)</f>
        <v>0</v>
      </c>
      <c r="AI40" s="14"/>
      <c r="AJ40" s="532">
        <f>IF(AF40=0,0,AF40/AE23*AI23)</f>
        <v>0</v>
      </c>
      <c r="AK40" s="226"/>
      <c r="AL40" s="662">
        <f>IF(AK25=0,0,AJ40/$AK$25)</f>
        <v>0</v>
      </c>
      <c r="AM40" s="7"/>
      <c r="AN40" s="532">
        <f>AJ40-AF40</f>
        <v>0</v>
      </c>
      <c r="AO40" s="309"/>
      <c r="AP40" s="666">
        <f>IF(AN40=0,0,AN40/AF40)</f>
        <v>0</v>
      </c>
      <c r="AR40" s="1407" t="s">
        <v>165</v>
      </c>
      <c r="AS40" s="7"/>
      <c r="AT40" s="532">
        <f>'6 Muuttuvat kustannukset'!N26</f>
        <v>0</v>
      </c>
      <c r="AU40" s="224"/>
      <c r="AV40" s="666">
        <f>IF(AU25=0,0,AT40/$AU$25)</f>
        <v>0</v>
      </c>
      <c r="AW40" s="14"/>
      <c r="AX40" s="532">
        <f>IF(AT40=0,0,AT40/AS23*AW23)</f>
        <v>0</v>
      </c>
      <c r="AY40" s="226"/>
      <c r="AZ40" s="662">
        <f>IF(AY25=0,0,AX40/$AY$25)</f>
        <v>0</v>
      </c>
      <c r="BA40" s="7"/>
      <c r="BB40" s="532">
        <f>AX40-AT40</f>
        <v>0</v>
      </c>
      <c r="BC40" s="309"/>
      <c r="BD40" s="666">
        <f>IF(BB40=0,0,BB40/AT40)</f>
        <v>0</v>
      </c>
      <c r="BE40" s="314"/>
      <c r="BF40" s="1407" t="s">
        <v>165</v>
      </c>
      <c r="BG40" s="7"/>
      <c r="BH40" s="532">
        <f>'6 Muuttuvat kustannukset'!Q26</f>
        <v>0</v>
      </c>
      <c r="BI40" s="224"/>
      <c r="BJ40" s="666">
        <f>IF(BI25=0,0,BH40/$BI$25)</f>
        <v>0</v>
      </c>
      <c r="BK40" s="14"/>
      <c r="BL40" s="532">
        <f>IF(BH40=0,0,BH40/BG23*BK23)</f>
        <v>0</v>
      </c>
      <c r="BM40" s="226"/>
      <c r="BN40" s="662">
        <f>IF(BM25=0,0,BL40/$BM$25)</f>
        <v>0</v>
      </c>
      <c r="BO40" s="7"/>
      <c r="BP40" s="532">
        <f>BL40-BH40</f>
        <v>0</v>
      </c>
      <c r="BQ40" s="309"/>
      <c r="BR40" s="666">
        <f>IF(BP40=0,0,BP40/BH40)</f>
        <v>0</v>
      </c>
      <c r="BS40" s="297"/>
      <c r="BT40" s="1407" t="s">
        <v>165</v>
      </c>
      <c r="BU40" s="237"/>
      <c r="BV40" s="677">
        <f>'6 Muuttuvat kustannukset'!T26</f>
        <v>0</v>
      </c>
      <c r="BW40" s="227"/>
      <c r="BX40" s="662">
        <f>IF(BW25=0,0,BV40/$BW$25)</f>
        <v>0</v>
      </c>
      <c r="BY40" s="360"/>
      <c r="BZ40" s="677">
        <f>IF(BV40=0,0,BV40/BU23*BY23)</f>
        <v>0</v>
      </c>
      <c r="CA40" s="227"/>
      <c r="CB40" s="662">
        <f>IF(CA25=0,0,BZ40/$CA$25)</f>
        <v>0</v>
      </c>
      <c r="CC40" s="237"/>
      <c r="CD40" s="677">
        <f>BZ40-BV40</f>
        <v>0</v>
      </c>
      <c r="CE40" s="310"/>
      <c r="CF40" s="662">
        <f>IF(CD40=0,0,CD40/BV40)</f>
        <v>0</v>
      </c>
      <c r="CG40"/>
      <c r="CH40" s="1407" t="s">
        <v>165</v>
      </c>
      <c r="CI40" s="237"/>
      <c r="CJ40" s="677">
        <f>D40+R40+AF40+AT40+BH40+BV40</f>
        <v>0</v>
      </c>
      <c r="CK40" s="227"/>
      <c r="CL40" s="674">
        <f>IF(CK25=0,0,CJ40/$CK$25)</f>
        <v>0</v>
      </c>
      <c r="CM40" s="237"/>
      <c r="CN40" s="677">
        <f>H40+V40+AJ40+AX40+BL40+BZ40</f>
        <v>0</v>
      </c>
      <c r="CO40" s="227"/>
      <c r="CP40" s="674">
        <f>IF(CO25=0,0,CN40/$CO$25)</f>
        <v>0</v>
      </c>
      <c r="CQ40" s="237"/>
      <c r="CR40" s="677">
        <f>CN40-CJ40</f>
        <v>0</v>
      </c>
      <c r="CS40" s="310"/>
      <c r="CT40" s="662">
        <f>IF(CR40=0,0,CR40/CJ40)</f>
        <v>0</v>
      </c>
      <c r="CX40" s="239"/>
      <c r="CY40" s="239"/>
      <c r="CZ40" s="239"/>
      <c r="DJ40" s="239"/>
      <c r="DK40" s="239"/>
      <c r="DL40" s="239"/>
      <c r="DR40" s="239"/>
      <c r="DS40" s="239"/>
      <c r="DT40" s="239"/>
      <c r="DV40" s="239"/>
      <c r="DW40" s="239"/>
      <c r="DX40" s="239"/>
      <c r="EA40" s="277" t="s">
        <v>1</v>
      </c>
      <c r="EN40" s="321"/>
      <c r="EO40" s="322"/>
      <c r="ER40" s="297"/>
    </row>
    <row r="41" spans="2:153" ht="13.5" thickBot="1" x14ac:dyDescent="0.25">
      <c r="B41" s="111" t="s">
        <v>248</v>
      </c>
      <c r="C41" s="200"/>
      <c r="D41" s="18"/>
      <c r="E41" s="652">
        <f>SUM(D28:D40)</f>
        <v>0</v>
      </c>
      <c r="F41" s="816">
        <f>IF(E25=0,0,E41/$E$25)</f>
        <v>0</v>
      </c>
      <c r="G41" s="4"/>
      <c r="H41" s="16"/>
      <c r="I41" s="652">
        <f>H28+H35+H40</f>
        <v>0</v>
      </c>
      <c r="J41" s="816">
        <f>IF(I25=0,0,I41/$I$25)</f>
        <v>0</v>
      </c>
      <c r="K41" s="3"/>
      <c r="L41" s="16"/>
      <c r="M41" s="653">
        <f>I41-E41</f>
        <v>0</v>
      </c>
      <c r="N41" s="675">
        <f>IF(M41=0,0,M41/E41)</f>
        <v>0</v>
      </c>
      <c r="P41" s="111" t="s">
        <v>248</v>
      </c>
      <c r="Q41" s="200"/>
      <c r="R41" s="18"/>
      <c r="S41" s="652">
        <f>SUM(R28:R40)</f>
        <v>0</v>
      </c>
      <c r="T41" s="816">
        <f>IF(S25=0,0,S41/$S$25)</f>
        <v>0</v>
      </c>
      <c r="U41" s="4"/>
      <c r="V41" s="16"/>
      <c r="W41" s="652">
        <f>V28+V35+V40</f>
        <v>0</v>
      </c>
      <c r="X41" s="816">
        <f>IF(W25=0,0,W41/$W$25)</f>
        <v>0</v>
      </c>
      <c r="Y41" s="3"/>
      <c r="Z41" s="16"/>
      <c r="AA41" s="653">
        <f>W41-S41</f>
        <v>0</v>
      </c>
      <c r="AB41" s="675">
        <f>IF(AA41=0,0,AA41/S41)</f>
        <v>0</v>
      </c>
      <c r="AD41" s="111" t="s">
        <v>248</v>
      </c>
      <c r="AE41" s="200"/>
      <c r="AF41" s="18"/>
      <c r="AG41" s="652">
        <f>SUM(AF28+AF35+AF40)</f>
        <v>0</v>
      </c>
      <c r="AH41" s="816">
        <f>IF(AG25=0,0,AG41/$AG$25)</f>
        <v>0</v>
      </c>
      <c r="AI41" s="4"/>
      <c r="AJ41" s="16"/>
      <c r="AK41" s="652">
        <f>AJ28+AJ35+AJ40</f>
        <v>0</v>
      </c>
      <c r="AL41" s="816">
        <f>IF(AK25=0,0,AK41/$AK$25)</f>
        <v>0</v>
      </c>
      <c r="AM41" s="3"/>
      <c r="AN41" s="16"/>
      <c r="AO41" s="653">
        <f>AK41-AG41</f>
        <v>0</v>
      </c>
      <c r="AP41" s="675">
        <f>IF(AO41=0,0,AO41/AG41)</f>
        <v>0</v>
      </c>
      <c r="AR41" s="111" t="s">
        <v>248</v>
      </c>
      <c r="AS41" s="200"/>
      <c r="AT41" s="18"/>
      <c r="AU41" s="652">
        <f>SUM(AT28+AT35+AT40)</f>
        <v>0</v>
      </c>
      <c r="AV41" s="816">
        <f>IF(AU25=0,0,AU41/$AU$25)</f>
        <v>0</v>
      </c>
      <c r="AW41" s="4"/>
      <c r="AX41" s="16"/>
      <c r="AY41" s="652">
        <f>AX28+AX35+AX40</f>
        <v>0</v>
      </c>
      <c r="AZ41" s="816">
        <f>IF(AY25=0,0,AY41/$AY$25)</f>
        <v>0</v>
      </c>
      <c r="BA41" s="3"/>
      <c r="BB41" s="16"/>
      <c r="BC41" s="653">
        <f>AY41-AU41</f>
        <v>0</v>
      </c>
      <c r="BD41" s="675">
        <f>IF(BC41=0,0,BC41/AU41)</f>
        <v>0</v>
      </c>
      <c r="BE41" s="314"/>
      <c r="BF41" s="111" t="s">
        <v>248</v>
      </c>
      <c r="BG41" s="200"/>
      <c r="BH41" s="18"/>
      <c r="BI41" s="652">
        <f>SUM(BH28:BH40)</f>
        <v>0</v>
      </c>
      <c r="BJ41" s="816">
        <f>IF(BI25=0,0,BI41/$BI$25)</f>
        <v>0</v>
      </c>
      <c r="BK41" s="4"/>
      <c r="BL41" s="16"/>
      <c r="BM41" s="652">
        <f>BL28+BL35+BL40</f>
        <v>0</v>
      </c>
      <c r="BN41" s="816">
        <f>IF(BM25=0,0,BM41/$BM$25)</f>
        <v>0</v>
      </c>
      <c r="BO41" s="3"/>
      <c r="BP41" s="16"/>
      <c r="BQ41" s="653">
        <f>BM41-BI41</f>
        <v>0</v>
      </c>
      <c r="BR41" s="675">
        <f>IF(BQ41=0,0,BQ41/BI41)</f>
        <v>0</v>
      </c>
      <c r="BS41" s="297"/>
      <c r="BT41" s="111" t="s">
        <v>248</v>
      </c>
      <c r="BU41" s="200"/>
      <c r="BV41" s="18"/>
      <c r="BW41" s="652">
        <f>SUM(BV28:BV40)</f>
        <v>0</v>
      </c>
      <c r="BX41" s="816">
        <f>IF(BW25=0,0,BW41/$BW$25)</f>
        <v>0</v>
      </c>
      <c r="BY41" s="4"/>
      <c r="BZ41" s="16"/>
      <c r="CA41" s="652">
        <f>BZ28+BZ35+BZ40</f>
        <v>0</v>
      </c>
      <c r="CB41" s="816">
        <f>IF(CA25=0,0,CA41/$CA$25)</f>
        <v>0</v>
      </c>
      <c r="CC41" s="3"/>
      <c r="CD41" s="16"/>
      <c r="CE41" s="653">
        <f>CA41-BW41</f>
        <v>0</v>
      </c>
      <c r="CF41" s="675">
        <f>IF(CE41=0,0,CE41/BW41)</f>
        <v>0</v>
      </c>
      <c r="CH41" s="111" t="s">
        <v>248</v>
      </c>
      <c r="CI41" s="200"/>
      <c r="CJ41" s="411"/>
      <c r="CK41" s="1198">
        <f>E41+S41+AG41+AU41+BI41+BW41</f>
        <v>0</v>
      </c>
      <c r="CL41" s="668">
        <f>IF(CK25=0,0,CK41/$CK$25)</f>
        <v>0</v>
      </c>
      <c r="CM41" s="359"/>
      <c r="CN41" s="210"/>
      <c r="CO41" s="653">
        <f>CN28+CN35+CN40</f>
        <v>0</v>
      </c>
      <c r="CP41" s="668">
        <f>IF(CO25=0,0,CO41/$CO$25)</f>
        <v>0</v>
      </c>
      <c r="CQ41" s="231"/>
      <c r="CR41" s="210"/>
      <c r="CS41" s="653">
        <f>CO41-CK41</f>
        <v>0</v>
      </c>
      <c r="CT41" s="675">
        <f>IF(CS41=0,0,CS41/CK41)</f>
        <v>0</v>
      </c>
      <c r="EN41" s="325"/>
      <c r="EP41" s="27"/>
      <c r="ER41" s="297"/>
    </row>
    <row r="42" spans="2:153" x14ac:dyDescent="0.2">
      <c r="B42" s="211" t="s">
        <v>621</v>
      </c>
      <c r="C42" s="211"/>
      <c r="D42" s="213"/>
      <c r="E42" s="815"/>
      <c r="F42" s="160"/>
      <c r="G42" s="212"/>
      <c r="H42" s="213"/>
      <c r="I42" s="815"/>
      <c r="J42" s="160" t="s">
        <v>1</v>
      </c>
      <c r="K42" s="211"/>
      <c r="L42" s="213"/>
      <c r="M42" s="306"/>
      <c r="N42" s="160"/>
      <c r="P42" s="211" t="s">
        <v>621</v>
      </c>
      <c r="Q42" s="211"/>
      <c r="R42" s="213"/>
      <c r="S42" s="815"/>
      <c r="T42" s="160"/>
      <c r="U42" s="212"/>
      <c r="V42" s="213"/>
      <c r="W42" s="815"/>
      <c r="X42" s="160" t="s">
        <v>1</v>
      </c>
      <c r="Y42" s="211"/>
      <c r="Z42" s="213"/>
      <c r="AA42" s="306"/>
      <c r="AB42" s="213"/>
      <c r="AD42" s="211" t="s">
        <v>621</v>
      </c>
      <c r="AE42" s="211"/>
      <c r="AF42" s="213"/>
      <c r="AG42" s="815"/>
      <c r="AH42" s="160"/>
      <c r="AI42" s="212"/>
      <c r="AJ42" s="213"/>
      <c r="AK42" s="815"/>
      <c r="AL42" s="160"/>
      <c r="AM42" s="211"/>
      <c r="AN42" s="213"/>
      <c r="AO42" s="306"/>
      <c r="AP42" s="160"/>
      <c r="AR42" s="211" t="s">
        <v>621</v>
      </c>
      <c r="AS42" s="211"/>
      <c r="AT42" s="213"/>
      <c r="AU42" s="815"/>
      <c r="AV42" s="160"/>
      <c r="AW42" s="212"/>
      <c r="AX42" s="213"/>
      <c r="AY42" s="815"/>
      <c r="AZ42" s="160"/>
      <c r="BA42" s="211"/>
      <c r="BB42" s="213"/>
      <c r="BC42" s="306"/>
      <c r="BD42" s="160"/>
      <c r="BE42" s="314"/>
      <c r="BF42" s="211" t="s">
        <v>621</v>
      </c>
      <c r="BG42" s="211"/>
      <c r="BH42" s="213"/>
      <c r="BI42" s="815"/>
      <c r="BJ42" s="160"/>
      <c r="BK42" s="212"/>
      <c r="BL42" s="213"/>
      <c r="BM42" s="815"/>
      <c r="BN42" s="160" t="s">
        <v>1</v>
      </c>
      <c r="BO42" s="211"/>
      <c r="BP42" s="213"/>
      <c r="BQ42" s="306"/>
      <c r="BR42" s="160"/>
      <c r="BS42" s="220"/>
      <c r="BT42" s="211" t="s">
        <v>621</v>
      </c>
      <c r="BU42" s="211"/>
      <c r="BV42" s="213"/>
      <c r="BW42" s="815"/>
      <c r="BX42" s="160"/>
      <c r="BY42" s="212"/>
      <c r="BZ42" s="213"/>
      <c r="CA42" s="815"/>
      <c r="CB42" s="160" t="s">
        <v>1</v>
      </c>
      <c r="CC42" s="211"/>
      <c r="CD42" s="213"/>
      <c r="CE42" s="306"/>
      <c r="CF42" s="160"/>
      <c r="CH42" s="211" t="s">
        <v>621</v>
      </c>
      <c r="CI42" s="211"/>
      <c r="CJ42" s="410"/>
      <c r="CK42" s="724"/>
      <c r="CL42" s="404"/>
      <c r="CM42" s="725"/>
      <c r="CN42" s="410"/>
      <c r="CO42" s="724"/>
      <c r="CP42" s="404"/>
      <c r="CQ42" s="725"/>
      <c r="CR42" s="410"/>
      <c r="CS42" s="726"/>
      <c r="CT42" s="410"/>
      <c r="EN42" s="326"/>
      <c r="EQ42" s="87"/>
      <c r="ER42" s="297"/>
    </row>
    <row r="43" spans="2:153" x14ac:dyDescent="0.2">
      <c r="B43" s="1364" t="s">
        <v>595</v>
      </c>
      <c r="C43" s="3"/>
      <c r="D43" s="676">
        <f>'7 Kiinteät kustannukset'!V7</f>
        <v>0</v>
      </c>
      <c r="E43" s="224"/>
      <c r="F43" s="662">
        <f>IF(E25=0,0,D43/$E$25)</f>
        <v>0</v>
      </c>
      <c r="G43" s="4"/>
      <c r="H43" s="1596"/>
      <c r="I43" s="224"/>
      <c r="J43" s="662">
        <f>IF(I25=0,0,H43/$I$25)</f>
        <v>0</v>
      </c>
      <c r="K43" s="3"/>
      <c r="L43" s="678">
        <f t="shared" ref="L43:L48" si="112">H43-D43</f>
        <v>0</v>
      </c>
      <c r="M43" s="307"/>
      <c r="N43" s="662">
        <f t="shared" ref="N43:N48" si="113">IF(L43=0,0,L43/D43)</f>
        <v>0</v>
      </c>
      <c r="P43" s="1364" t="s">
        <v>595</v>
      </c>
      <c r="Q43" s="3"/>
      <c r="R43" s="676">
        <f>'7 Kiinteät kustannukset'!W7</f>
        <v>0</v>
      </c>
      <c r="S43" s="224"/>
      <c r="T43" s="662">
        <f>IF(S25=0,0,R43/$S$25)</f>
        <v>0</v>
      </c>
      <c r="U43" s="4"/>
      <c r="V43" s="1596"/>
      <c r="W43" s="224"/>
      <c r="X43" s="662">
        <f>IF(W25=0,0,V43/$W$25)</f>
        <v>0</v>
      </c>
      <c r="Y43" s="3"/>
      <c r="Z43" s="678">
        <f t="shared" ref="Z43:Z48" si="114">V43-R43</f>
        <v>0</v>
      </c>
      <c r="AA43" s="307"/>
      <c r="AB43" s="662">
        <f t="shared" ref="AB43:AB48" si="115">IF(Z43=0,0,Z43/R43)</f>
        <v>0</v>
      </c>
      <c r="AD43" s="1364" t="s">
        <v>595</v>
      </c>
      <c r="AE43" s="3"/>
      <c r="AF43" s="676">
        <f>'7 Kiinteät kustannukset'!X7</f>
        <v>0</v>
      </c>
      <c r="AG43" s="224"/>
      <c r="AH43" s="662">
        <f>IF(AG25=0,0,AF43/$AG$25)</f>
        <v>0</v>
      </c>
      <c r="AI43" s="4"/>
      <c r="AJ43" s="1596"/>
      <c r="AK43" s="224"/>
      <c r="AL43" s="662">
        <f>IF(AK25=0,0,AJ43/$AK$25)</f>
        <v>0</v>
      </c>
      <c r="AM43" s="3"/>
      <c r="AN43" s="678">
        <f t="shared" ref="AN43:AN48" si="116">AJ43-AF43</f>
        <v>0</v>
      </c>
      <c r="AO43" s="307"/>
      <c r="AP43" s="662">
        <f t="shared" ref="AP43:AP48" si="117">IF(AN43=0,0,AN43/AF43)</f>
        <v>0</v>
      </c>
      <c r="AR43" s="1364" t="s">
        <v>595</v>
      </c>
      <c r="AS43" s="3"/>
      <c r="AT43" s="676">
        <f>'7 Kiinteät kustannukset'!Y7</f>
        <v>0</v>
      </c>
      <c r="AU43" s="224"/>
      <c r="AV43" s="662">
        <f>IF(AU25=0,0,AT43/$AU$25)</f>
        <v>0</v>
      </c>
      <c r="AW43" s="4"/>
      <c r="AX43" s="1596"/>
      <c r="AY43" s="224"/>
      <c r="AZ43" s="662">
        <f>IF(AY25=0,0,AX43/$AY$25)</f>
        <v>0</v>
      </c>
      <c r="BA43" s="3"/>
      <c r="BB43" s="678">
        <f t="shared" ref="BB43:BB48" si="118">AX43-AT43</f>
        <v>0</v>
      </c>
      <c r="BC43" s="307"/>
      <c r="BD43" s="662">
        <f t="shared" ref="BD43:BD48" si="119">IF(BB43=0,0,BB43/AT43)</f>
        <v>0</v>
      </c>
      <c r="BE43" s="314"/>
      <c r="BF43" s="1364" t="s">
        <v>595</v>
      </c>
      <c r="BG43" s="3"/>
      <c r="BH43" s="676">
        <f>'7 Kiinteät kustannukset'!Z7</f>
        <v>0</v>
      </c>
      <c r="BI43" s="224"/>
      <c r="BJ43" s="662">
        <f>IF(BI25=0,0,BH43/$BI$25)</f>
        <v>0</v>
      </c>
      <c r="BK43" s="4"/>
      <c r="BL43" s="1596"/>
      <c r="BM43" s="224"/>
      <c r="BN43" s="662">
        <f>IF(BM25=0,0,BL43/$BM$25)</f>
        <v>0</v>
      </c>
      <c r="BO43" s="3"/>
      <c r="BP43" s="678">
        <f t="shared" ref="BP43:BP48" si="120">BL43-BH43</f>
        <v>0</v>
      </c>
      <c r="BQ43" s="307"/>
      <c r="BR43" s="662">
        <f t="shared" ref="BR43:BR48" si="121">IF(BP43=0,0,BP43/BH43)</f>
        <v>0</v>
      </c>
      <c r="BS43" s="297"/>
      <c r="BT43" s="1364" t="s">
        <v>595</v>
      </c>
      <c r="BU43" s="3"/>
      <c r="BV43" s="676">
        <f>'7 Kiinteät kustannukset'!AA7</f>
        <v>0</v>
      </c>
      <c r="BW43" s="224"/>
      <c r="BX43" s="662">
        <f>IF(BW25=0,0,BV43/$BW$25)</f>
        <v>0</v>
      </c>
      <c r="BY43" s="4"/>
      <c r="BZ43" s="1596"/>
      <c r="CA43" s="224"/>
      <c r="CB43" s="662">
        <f>IF(CA25=0,0,BZ43/$CA$25)</f>
        <v>0</v>
      </c>
      <c r="CC43" s="3"/>
      <c r="CD43" s="678">
        <f t="shared" ref="CD43:CD48" si="122">BZ43-BV43</f>
        <v>0</v>
      </c>
      <c r="CE43" s="307"/>
      <c r="CF43" s="662">
        <f t="shared" ref="CF43:CF48" si="123">IF(CD43=0,0,CD43/BV43)</f>
        <v>0</v>
      </c>
      <c r="CH43" s="1364" t="s">
        <v>595</v>
      </c>
      <c r="CI43" s="3"/>
      <c r="CJ43" s="676">
        <f>D43+R43+AF43+AT43+BH43+BV43</f>
        <v>0</v>
      </c>
      <c r="CK43" s="225"/>
      <c r="CL43" s="672">
        <f>IF(CK25=0,0,CJ43/$CK$25)</f>
        <v>0</v>
      </c>
      <c r="CM43" s="231"/>
      <c r="CN43" s="676">
        <f t="shared" ref="CN43:CN48" si="124">H43+V43+AJ43+AX43+BL43+BZ43</f>
        <v>0</v>
      </c>
      <c r="CO43" s="225"/>
      <c r="CP43" s="672">
        <f>IF(CO25=0,0,CN43/$CO$25)</f>
        <v>0</v>
      </c>
      <c r="CQ43" s="231"/>
      <c r="CR43" s="678">
        <f t="shared" ref="CR43:CR48" si="125">CN43-CJ43</f>
        <v>0</v>
      </c>
      <c r="CS43" s="308"/>
      <c r="CT43" s="662">
        <f t="shared" ref="CT43:CT48" si="126">IF(CR43=0,0,CR43/CJ43)</f>
        <v>0</v>
      </c>
      <c r="ER43" s="220"/>
    </row>
    <row r="44" spans="2:153" x14ac:dyDescent="0.2">
      <c r="B44" s="1364" t="s">
        <v>129</v>
      </c>
      <c r="C44" s="3"/>
      <c r="D44" s="676">
        <f>'7 Kiinteät kustannukset'!V8</f>
        <v>0</v>
      </c>
      <c r="E44" s="225"/>
      <c r="F44" s="662">
        <f>IF(E25=0,0,D44/$E$25)</f>
        <v>0</v>
      </c>
      <c r="G44" s="4"/>
      <c r="H44" s="1596"/>
      <c r="I44" s="225"/>
      <c r="J44" s="662">
        <f>IF(I25=0,0,H44/$I$25)</f>
        <v>0</v>
      </c>
      <c r="K44" s="3"/>
      <c r="L44" s="678">
        <f t="shared" si="112"/>
        <v>0</v>
      </c>
      <c r="M44" s="308"/>
      <c r="N44" s="662">
        <f t="shared" si="113"/>
        <v>0</v>
      </c>
      <c r="P44" s="1364" t="s">
        <v>129</v>
      </c>
      <c r="Q44" s="3"/>
      <c r="R44" s="676">
        <f>'7 Kiinteät kustannukset'!W8</f>
        <v>0</v>
      </c>
      <c r="S44" s="225"/>
      <c r="T44" s="662">
        <f>IF(S25=0,0,R44/$S$25)</f>
        <v>0</v>
      </c>
      <c r="U44" s="4"/>
      <c r="V44" s="1596"/>
      <c r="W44" s="225"/>
      <c r="X44" s="662">
        <f>IF(W25=0,0,V44/$W$25)</f>
        <v>0</v>
      </c>
      <c r="Y44" s="3"/>
      <c r="Z44" s="678">
        <f t="shared" si="114"/>
        <v>0</v>
      </c>
      <c r="AA44" s="308"/>
      <c r="AB44" s="662">
        <f t="shared" si="115"/>
        <v>0</v>
      </c>
      <c r="AD44" s="1364" t="s">
        <v>129</v>
      </c>
      <c r="AE44" s="3"/>
      <c r="AF44" s="676">
        <f>'7 Kiinteät kustannukset'!X8</f>
        <v>0</v>
      </c>
      <c r="AG44" s="225"/>
      <c r="AH44" s="662">
        <f>IF(AG25=0,0,AF44/$AG$25)</f>
        <v>0</v>
      </c>
      <c r="AI44" s="4"/>
      <c r="AJ44" s="1596"/>
      <c r="AK44" s="225"/>
      <c r="AL44" s="662">
        <f>IF(AK25=0,0,AJ44/$AK$25)</f>
        <v>0</v>
      </c>
      <c r="AM44" s="3"/>
      <c r="AN44" s="678">
        <f t="shared" si="116"/>
        <v>0</v>
      </c>
      <c r="AO44" s="308"/>
      <c r="AP44" s="662">
        <f t="shared" si="117"/>
        <v>0</v>
      </c>
      <c r="AR44" s="1364" t="s">
        <v>129</v>
      </c>
      <c r="AS44" s="3"/>
      <c r="AT44" s="676">
        <f>'7 Kiinteät kustannukset'!Y8</f>
        <v>0</v>
      </c>
      <c r="AU44" s="225"/>
      <c r="AV44" s="662">
        <f>IF(AU25=0,0,AT44/$AU$25)</f>
        <v>0</v>
      </c>
      <c r="AW44" s="4"/>
      <c r="AX44" s="1596"/>
      <c r="AY44" s="225"/>
      <c r="AZ44" s="662">
        <f>IF(AY25=0,0,AX44/$AY$25)</f>
        <v>0</v>
      </c>
      <c r="BA44" s="3"/>
      <c r="BB44" s="678">
        <f t="shared" si="118"/>
        <v>0</v>
      </c>
      <c r="BC44" s="308"/>
      <c r="BD44" s="662">
        <f t="shared" si="119"/>
        <v>0</v>
      </c>
      <c r="BE44" s="314"/>
      <c r="BF44" s="1364" t="s">
        <v>129</v>
      </c>
      <c r="BG44" s="3"/>
      <c r="BH44" s="676">
        <f>'7 Kiinteät kustannukset'!Z8</f>
        <v>0</v>
      </c>
      <c r="BI44" s="225"/>
      <c r="BJ44" s="662">
        <f>IF(BI25=0,0,BH44/$BI$25)</f>
        <v>0</v>
      </c>
      <c r="BK44" s="4"/>
      <c r="BL44" s="1596"/>
      <c r="BM44" s="225"/>
      <c r="BN44" s="662">
        <f>IF(BM25=0,0,BL44/$BM$25)</f>
        <v>0</v>
      </c>
      <c r="BO44" s="3"/>
      <c r="BP44" s="678">
        <f t="shared" si="120"/>
        <v>0</v>
      </c>
      <c r="BQ44" s="308"/>
      <c r="BR44" s="662">
        <f t="shared" si="121"/>
        <v>0</v>
      </c>
      <c r="BS44" s="297"/>
      <c r="BT44" s="1364" t="s">
        <v>129</v>
      </c>
      <c r="BU44" s="3"/>
      <c r="BV44" s="676">
        <f>'7 Kiinteät kustannukset'!AA8</f>
        <v>0</v>
      </c>
      <c r="BW44" s="225"/>
      <c r="BX44" s="662">
        <f>IF(BW25=0,0,BV44/$BW$25)</f>
        <v>0</v>
      </c>
      <c r="BY44" s="4"/>
      <c r="BZ44" s="1596"/>
      <c r="CA44" s="225"/>
      <c r="CB44" s="662">
        <f>IF(CA25=0,0,BZ44/$CA$25)</f>
        <v>0</v>
      </c>
      <c r="CC44" s="3"/>
      <c r="CD44" s="678">
        <f t="shared" si="122"/>
        <v>0</v>
      </c>
      <c r="CE44" s="308"/>
      <c r="CF44" s="662">
        <f t="shared" si="123"/>
        <v>0</v>
      </c>
      <c r="CH44" s="1364" t="s">
        <v>129</v>
      </c>
      <c r="CI44" s="3"/>
      <c r="CJ44" s="676">
        <f t="shared" ref="CJ44:CJ48" si="127">D44+R44+AF44+AT44+BH44+BV44</f>
        <v>0</v>
      </c>
      <c r="CK44" s="225"/>
      <c r="CL44" s="672">
        <f>IF(CK25=0,0,CJ44/$CK$25)</f>
        <v>0</v>
      </c>
      <c r="CM44" s="231"/>
      <c r="CN44" s="676">
        <f t="shared" si="124"/>
        <v>0</v>
      </c>
      <c r="CO44" s="225"/>
      <c r="CP44" s="672">
        <f>IF(CO25=0,0,CN44/$CO$25)</f>
        <v>0</v>
      </c>
      <c r="CQ44" s="231"/>
      <c r="CR44" s="678">
        <f t="shared" si="125"/>
        <v>0</v>
      </c>
      <c r="CS44" s="308"/>
      <c r="CT44" s="662">
        <f t="shared" si="126"/>
        <v>0</v>
      </c>
      <c r="EN44" s="327"/>
      <c r="EP44" s="322"/>
      <c r="ER44" s="297"/>
    </row>
    <row r="45" spans="2:153" x14ac:dyDescent="0.2">
      <c r="B45" s="1364" t="s">
        <v>634</v>
      </c>
      <c r="C45" s="3"/>
      <c r="D45" s="676">
        <f>'7 Kiinteät kustannukset'!V9</f>
        <v>0</v>
      </c>
      <c r="E45" s="225"/>
      <c r="F45" s="662">
        <f>IF(E25=0,0,D45/$E$25)</f>
        <v>0</v>
      </c>
      <c r="G45" s="4"/>
      <c r="H45" s="1596"/>
      <c r="I45" s="225"/>
      <c r="J45" s="662">
        <f>IF(I25=0,0,H45/$I$25)</f>
        <v>0</v>
      </c>
      <c r="K45" s="3"/>
      <c r="L45" s="678">
        <f t="shared" si="112"/>
        <v>0</v>
      </c>
      <c r="M45" s="308"/>
      <c r="N45" s="662">
        <f t="shared" si="113"/>
        <v>0</v>
      </c>
      <c r="P45" s="1364" t="s">
        <v>634</v>
      </c>
      <c r="Q45" s="3"/>
      <c r="R45" s="676">
        <f>'7 Kiinteät kustannukset'!W9</f>
        <v>0</v>
      </c>
      <c r="S45" s="225"/>
      <c r="T45" s="662">
        <f>IF(S25=0,0,R45/$S$25)</f>
        <v>0</v>
      </c>
      <c r="U45" s="4"/>
      <c r="V45" s="1596"/>
      <c r="W45" s="225"/>
      <c r="X45" s="662">
        <f>IF(W25=0,0,V45/$W$25)</f>
        <v>0</v>
      </c>
      <c r="Y45" s="3"/>
      <c r="Z45" s="678">
        <f t="shared" si="114"/>
        <v>0</v>
      </c>
      <c r="AA45" s="308"/>
      <c r="AB45" s="662">
        <f t="shared" si="115"/>
        <v>0</v>
      </c>
      <c r="AD45" s="1364" t="s">
        <v>634</v>
      </c>
      <c r="AE45" s="3"/>
      <c r="AF45" s="676">
        <f>'7 Kiinteät kustannukset'!X9</f>
        <v>0</v>
      </c>
      <c r="AG45" s="225"/>
      <c r="AH45" s="662">
        <f>IF(AG25=0,0,AF45/$AG$25)</f>
        <v>0</v>
      </c>
      <c r="AI45" s="4"/>
      <c r="AJ45" s="1596"/>
      <c r="AK45" s="225"/>
      <c r="AL45" s="662">
        <f>IF(AK25=0,0,AJ45/$AK$25)</f>
        <v>0</v>
      </c>
      <c r="AM45" s="3"/>
      <c r="AN45" s="678">
        <f t="shared" si="116"/>
        <v>0</v>
      </c>
      <c r="AO45" s="308"/>
      <c r="AP45" s="662">
        <f t="shared" si="117"/>
        <v>0</v>
      </c>
      <c r="AR45" s="1364" t="s">
        <v>634</v>
      </c>
      <c r="AS45" s="3"/>
      <c r="AT45" s="676">
        <f>'7 Kiinteät kustannukset'!Y9</f>
        <v>0</v>
      </c>
      <c r="AU45" s="225"/>
      <c r="AV45" s="662">
        <f>IF(AU25=0,0,AT45/$AU$25)</f>
        <v>0</v>
      </c>
      <c r="AW45" s="4"/>
      <c r="AX45" s="1596"/>
      <c r="AY45" s="225"/>
      <c r="AZ45" s="662">
        <f>IF(AY25=0,0,AX45/$AY$25)</f>
        <v>0</v>
      </c>
      <c r="BA45" s="3"/>
      <c r="BB45" s="678">
        <f t="shared" si="118"/>
        <v>0</v>
      </c>
      <c r="BC45" s="308"/>
      <c r="BD45" s="662">
        <f t="shared" si="119"/>
        <v>0</v>
      </c>
      <c r="BE45" s="314"/>
      <c r="BF45" s="1364" t="s">
        <v>634</v>
      </c>
      <c r="BG45" s="3"/>
      <c r="BH45" s="676">
        <f>'7 Kiinteät kustannukset'!Z9</f>
        <v>0</v>
      </c>
      <c r="BI45" s="225"/>
      <c r="BJ45" s="662">
        <f>IF(BI25=0,0,BH45/$BI$25)</f>
        <v>0</v>
      </c>
      <c r="BK45" s="4"/>
      <c r="BL45" s="1596"/>
      <c r="BM45" s="225"/>
      <c r="BN45" s="662">
        <f>IF(BM25=0,0,BL45/$BM$25)</f>
        <v>0</v>
      </c>
      <c r="BO45" s="3"/>
      <c r="BP45" s="678">
        <f t="shared" si="120"/>
        <v>0</v>
      </c>
      <c r="BQ45" s="308"/>
      <c r="BR45" s="662">
        <f t="shared" si="121"/>
        <v>0</v>
      </c>
      <c r="BS45" s="297"/>
      <c r="BT45" s="1364" t="s">
        <v>634</v>
      </c>
      <c r="BU45" s="3"/>
      <c r="BV45" s="676">
        <f>'7 Kiinteät kustannukset'!AA9</f>
        <v>0</v>
      </c>
      <c r="BW45" s="225"/>
      <c r="BX45" s="662">
        <f>IF(BW25=0,0,BV45/$BW$25)</f>
        <v>0</v>
      </c>
      <c r="BY45" s="4"/>
      <c r="BZ45" s="1596"/>
      <c r="CA45" s="225"/>
      <c r="CB45" s="662">
        <f>IF(CA25=0,0,BZ45/$CA$25)</f>
        <v>0</v>
      </c>
      <c r="CC45" s="3"/>
      <c r="CD45" s="678">
        <f t="shared" si="122"/>
        <v>0</v>
      </c>
      <c r="CE45" s="308"/>
      <c r="CF45" s="662">
        <f t="shared" si="123"/>
        <v>0</v>
      </c>
      <c r="CH45" s="1364" t="s">
        <v>634</v>
      </c>
      <c r="CI45" s="3"/>
      <c r="CJ45" s="676">
        <f t="shared" si="127"/>
        <v>0</v>
      </c>
      <c r="CK45" s="225"/>
      <c r="CL45" s="672">
        <f>IF(CK25=0,0,CJ45/$CK$25)</f>
        <v>0</v>
      </c>
      <c r="CM45" s="231"/>
      <c r="CN45" s="676">
        <f t="shared" si="124"/>
        <v>0</v>
      </c>
      <c r="CO45" s="225"/>
      <c r="CP45" s="672">
        <f>IF(CO25=0,0,CN45/$CO$25)</f>
        <v>0</v>
      </c>
      <c r="CQ45" s="231"/>
      <c r="CR45" s="678">
        <f t="shared" si="125"/>
        <v>0</v>
      </c>
      <c r="CS45" s="308"/>
      <c r="CT45" s="662">
        <f t="shared" si="126"/>
        <v>0</v>
      </c>
      <c r="EN45" s="327"/>
      <c r="EP45" s="322"/>
      <c r="EQ45" s="208"/>
      <c r="ER45" s="297"/>
      <c r="ET45" s="319" t="s">
        <v>1</v>
      </c>
      <c r="EW45" s="208"/>
    </row>
    <row r="46" spans="2:153" x14ac:dyDescent="0.2">
      <c r="B46" s="1364" t="s">
        <v>128</v>
      </c>
      <c r="C46" s="3"/>
      <c r="D46" s="676">
        <f>'7 Kiinteät kustannukset'!V10</f>
        <v>0</v>
      </c>
      <c r="E46" s="225"/>
      <c r="F46" s="662">
        <f>IF(E25=0,0,D46/$E$25)</f>
        <v>0</v>
      </c>
      <c r="G46" s="4"/>
      <c r="H46" s="1596"/>
      <c r="I46" s="225"/>
      <c r="J46" s="662">
        <f>IF(I25=0,0,H46/$I$25)</f>
        <v>0</v>
      </c>
      <c r="K46" s="3"/>
      <c r="L46" s="678">
        <f t="shared" si="112"/>
        <v>0</v>
      </c>
      <c r="M46" s="308"/>
      <c r="N46" s="662">
        <f t="shared" si="113"/>
        <v>0</v>
      </c>
      <c r="P46" s="1364" t="s">
        <v>128</v>
      </c>
      <c r="Q46" s="3"/>
      <c r="R46" s="676">
        <f>'7 Kiinteät kustannukset'!W10</f>
        <v>0</v>
      </c>
      <c r="S46" s="225"/>
      <c r="T46" s="662">
        <f>IF(S25=0,0,R46/$S$25)</f>
        <v>0</v>
      </c>
      <c r="U46" s="4"/>
      <c r="V46" s="1596"/>
      <c r="W46" s="225"/>
      <c r="X46" s="662">
        <f>IF(W25=0,0,V46/$W$25)</f>
        <v>0</v>
      </c>
      <c r="Y46" s="3"/>
      <c r="Z46" s="678">
        <f t="shared" si="114"/>
        <v>0</v>
      </c>
      <c r="AA46" s="308"/>
      <c r="AB46" s="662">
        <f t="shared" si="115"/>
        <v>0</v>
      </c>
      <c r="AD46" s="1364" t="s">
        <v>128</v>
      </c>
      <c r="AE46" s="3"/>
      <c r="AF46" s="676">
        <f>'7 Kiinteät kustannukset'!X10</f>
        <v>0</v>
      </c>
      <c r="AG46" s="225"/>
      <c r="AH46" s="662">
        <f>IF(AG25=0,0,AF46/$AG$25)</f>
        <v>0</v>
      </c>
      <c r="AI46" s="4"/>
      <c r="AJ46" s="1596"/>
      <c r="AK46" s="225"/>
      <c r="AL46" s="662">
        <f>IF(AK25=0,0,AJ46/$AK$25)</f>
        <v>0</v>
      </c>
      <c r="AM46" s="3"/>
      <c r="AN46" s="678">
        <f t="shared" si="116"/>
        <v>0</v>
      </c>
      <c r="AO46" s="308"/>
      <c r="AP46" s="662">
        <f t="shared" si="117"/>
        <v>0</v>
      </c>
      <c r="AR46" s="1364" t="s">
        <v>128</v>
      </c>
      <c r="AS46" s="3"/>
      <c r="AT46" s="676">
        <f>'7 Kiinteät kustannukset'!Y10</f>
        <v>0</v>
      </c>
      <c r="AU46" s="225"/>
      <c r="AV46" s="662">
        <f>IF(AU25=0,0,AT46/$AU$25)</f>
        <v>0</v>
      </c>
      <c r="AW46" s="4"/>
      <c r="AX46" s="1596"/>
      <c r="AY46" s="225"/>
      <c r="AZ46" s="662">
        <f>IF(AY25=0,0,AX46/$AY$25)</f>
        <v>0</v>
      </c>
      <c r="BA46" s="3"/>
      <c r="BB46" s="678">
        <f t="shared" si="118"/>
        <v>0</v>
      </c>
      <c r="BC46" s="308"/>
      <c r="BD46" s="662">
        <f t="shared" si="119"/>
        <v>0</v>
      </c>
      <c r="BE46" s="314"/>
      <c r="BF46" s="1364" t="s">
        <v>128</v>
      </c>
      <c r="BG46" s="3"/>
      <c r="BH46" s="676">
        <f>'7 Kiinteät kustannukset'!Z10</f>
        <v>0</v>
      </c>
      <c r="BI46" s="225"/>
      <c r="BJ46" s="662">
        <f>IF(BI25=0,0,BH46/$BI$25)</f>
        <v>0</v>
      </c>
      <c r="BK46" s="4"/>
      <c r="BL46" s="1596"/>
      <c r="BM46" s="225"/>
      <c r="BN46" s="662">
        <f>IF(BM25=0,0,BL46/$BM$25)</f>
        <v>0</v>
      </c>
      <c r="BO46" s="3"/>
      <c r="BP46" s="678">
        <f t="shared" si="120"/>
        <v>0</v>
      </c>
      <c r="BQ46" s="308"/>
      <c r="BR46" s="662">
        <f t="shared" si="121"/>
        <v>0</v>
      </c>
      <c r="BS46" s="297"/>
      <c r="BT46" s="1364" t="s">
        <v>128</v>
      </c>
      <c r="BU46" s="3"/>
      <c r="BV46" s="676">
        <f>'7 Kiinteät kustannukset'!AA10</f>
        <v>0</v>
      </c>
      <c r="BW46" s="225"/>
      <c r="BX46" s="662">
        <f>IF(BW25=0,0,BV46/$BW$25)</f>
        <v>0</v>
      </c>
      <c r="BY46" s="4"/>
      <c r="BZ46" s="1596"/>
      <c r="CA46" s="225"/>
      <c r="CB46" s="662">
        <f>IF(CA25=0,0,BZ46/$CA$25)</f>
        <v>0</v>
      </c>
      <c r="CC46" s="3"/>
      <c r="CD46" s="678">
        <f t="shared" si="122"/>
        <v>0</v>
      </c>
      <c r="CE46" s="308"/>
      <c r="CF46" s="662">
        <f t="shared" si="123"/>
        <v>0</v>
      </c>
      <c r="CH46" s="1364" t="s">
        <v>128</v>
      </c>
      <c r="CI46" s="3"/>
      <c r="CJ46" s="676">
        <f t="shared" si="127"/>
        <v>0</v>
      </c>
      <c r="CK46" s="225"/>
      <c r="CL46" s="672">
        <f>IF(CK25=0,0,CJ46/$CK$25)</f>
        <v>0</v>
      </c>
      <c r="CM46" s="231"/>
      <c r="CN46" s="676">
        <f t="shared" si="124"/>
        <v>0</v>
      </c>
      <c r="CO46" s="225"/>
      <c r="CP46" s="672">
        <f>IF(CO25=0,0,CN46/$CO$25)</f>
        <v>0</v>
      </c>
      <c r="CQ46" s="231"/>
      <c r="CR46" s="678">
        <f t="shared" si="125"/>
        <v>0</v>
      </c>
      <c r="CS46" s="308"/>
      <c r="CT46" s="662">
        <f t="shared" si="126"/>
        <v>0</v>
      </c>
      <c r="EN46" s="327"/>
      <c r="EP46" s="322"/>
      <c r="EQ46" s="208"/>
      <c r="ER46" s="297"/>
    </row>
    <row r="47" spans="2:153" x14ac:dyDescent="0.2">
      <c r="B47" s="1364" t="s">
        <v>134</v>
      </c>
      <c r="C47" s="3"/>
      <c r="D47" s="676">
        <f>'7 Kiinteät kustannukset'!V11</f>
        <v>0</v>
      </c>
      <c r="E47" s="225"/>
      <c r="F47" s="662">
        <f>IF(E25=0,0,D47/$E$25)</f>
        <v>0</v>
      </c>
      <c r="G47" s="4"/>
      <c r="H47" s="1596"/>
      <c r="I47" s="225"/>
      <c r="J47" s="662">
        <f>IF(I25=0,0,H47/$I$25)</f>
        <v>0</v>
      </c>
      <c r="K47" s="3"/>
      <c r="L47" s="678">
        <f t="shared" si="112"/>
        <v>0</v>
      </c>
      <c r="M47" s="308"/>
      <c r="N47" s="662">
        <f t="shared" si="113"/>
        <v>0</v>
      </c>
      <c r="P47" s="1364" t="s">
        <v>134</v>
      </c>
      <c r="Q47" s="3"/>
      <c r="R47" s="676">
        <f>'7 Kiinteät kustannukset'!W11</f>
        <v>0</v>
      </c>
      <c r="S47" s="225"/>
      <c r="T47" s="662">
        <f>IF(S25=0,0,R47/$S$25)</f>
        <v>0</v>
      </c>
      <c r="U47" s="4"/>
      <c r="V47" s="1596"/>
      <c r="W47" s="225"/>
      <c r="X47" s="662">
        <f>IF(W25=0,0,V47/$W$25)</f>
        <v>0</v>
      </c>
      <c r="Y47" s="3"/>
      <c r="Z47" s="678">
        <f t="shared" si="114"/>
        <v>0</v>
      </c>
      <c r="AA47" s="308"/>
      <c r="AB47" s="662">
        <f t="shared" si="115"/>
        <v>0</v>
      </c>
      <c r="AD47" s="1364" t="s">
        <v>134</v>
      </c>
      <c r="AE47" s="3"/>
      <c r="AF47" s="676">
        <f>'7 Kiinteät kustannukset'!X11</f>
        <v>0</v>
      </c>
      <c r="AG47" s="225"/>
      <c r="AH47" s="662">
        <f>IF(AG25=0,0,AF47/$AG$25)</f>
        <v>0</v>
      </c>
      <c r="AI47" s="4"/>
      <c r="AJ47" s="1596"/>
      <c r="AK47" s="225"/>
      <c r="AL47" s="662">
        <f>IF(AK25=0,0,AJ47/$AK$25)</f>
        <v>0</v>
      </c>
      <c r="AM47" s="3"/>
      <c r="AN47" s="678">
        <f t="shared" si="116"/>
        <v>0</v>
      </c>
      <c r="AO47" s="308"/>
      <c r="AP47" s="662">
        <f t="shared" si="117"/>
        <v>0</v>
      </c>
      <c r="AR47" s="1364" t="s">
        <v>134</v>
      </c>
      <c r="AS47" s="3"/>
      <c r="AT47" s="676">
        <f>'7 Kiinteät kustannukset'!Y11</f>
        <v>0</v>
      </c>
      <c r="AU47" s="225"/>
      <c r="AV47" s="662">
        <f>IF(AU25=0,0,AT47/$AU$25)</f>
        <v>0</v>
      </c>
      <c r="AW47" s="4"/>
      <c r="AX47" s="1596"/>
      <c r="AY47" s="225"/>
      <c r="AZ47" s="662">
        <f>IF(AY25=0,0,AX47/$AY$25)</f>
        <v>0</v>
      </c>
      <c r="BA47" s="3"/>
      <c r="BB47" s="678">
        <f t="shared" si="118"/>
        <v>0</v>
      </c>
      <c r="BC47" s="308"/>
      <c r="BD47" s="662">
        <f t="shared" si="119"/>
        <v>0</v>
      </c>
      <c r="BE47" s="314"/>
      <c r="BF47" s="1364" t="s">
        <v>134</v>
      </c>
      <c r="BG47" s="3"/>
      <c r="BH47" s="676">
        <f>'7 Kiinteät kustannukset'!Z11</f>
        <v>0</v>
      </c>
      <c r="BI47" s="225"/>
      <c r="BJ47" s="662">
        <f>IF(BI25=0,0,BH47/$BI$25)</f>
        <v>0</v>
      </c>
      <c r="BK47" s="4"/>
      <c r="BL47" s="1596"/>
      <c r="BM47" s="225"/>
      <c r="BN47" s="662">
        <f>IF(BM25=0,0,BL47/$BM$25)</f>
        <v>0</v>
      </c>
      <c r="BO47" s="3"/>
      <c r="BP47" s="678">
        <f t="shared" si="120"/>
        <v>0</v>
      </c>
      <c r="BQ47" s="308"/>
      <c r="BR47" s="662">
        <f t="shared" si="121"/>
        <v>0</v>
      </c>
      <c r="BS47" s="297"/>
      <c r="BT47" s="1364" t="s">
        <v>134</v>
      </c>
      <c r="BU47" s="3"/>
      <c r="BV47" s="676">
        <f>'7 Kiinteät kustannukset'!AA11</f>
        <v>0</v>
      </c>
      <c r="BW47" s="225"/>
      <c r="BX47" s="662">
        <f>IF(BW25=0,0,BV47/$BW$25)</f>
        <v>0</v>
      </c>
      <c r="BY47" s="4"/>
      <c r="BZ47" s="1596"/>
      <c r="CA47" s="225"/>
      <c r="CB47" s="662">
        <f>IF(CA25=0,0,BZ47/$CA$25)</f>
        <v>0</v>
      </c>
      <c r="CC47" s="3"/>
      <c r="CD47" s="678">
        <f t="shared" si="122"/>
        <v>0</v>
      </c>
      <c r="CE47" s="308"/>
      <c r="CF47" s="662">
        <f t="shared" si="123"/>
        <v>0</v>
      </c>
      <c r="CH47" s="1364" t="s">
        <v>134</v>
      </c>
      <c r="CI47" s="3"/>
      <c r="CJ47" s="676">
        <f t="shared" si="127"/>
        <v>0</v>
      </c>
      <c r="CK47" s="225"/>
      <c r="CL47" s="672">
        <f>IF(CK25=0,0,CJ47/$CK$25)</f>
        <v>0</v>
      </c>
      <c r="CM47" s="231"/>
      <c r="CN47" s="676">
        <f t="shared" si="124"/>
        <v>0</v>
      </c>
      <c r="CO47" s="225"/>
      <c r="CP47" s="672">
        <f>IF(CO25=0,0,CN47/$CO$25)</f>
        <v>0</v>
      </c>
      <c r="CQ47" s="231"/>
      <c r="CR47" s="678">
        <f t="shared" si="125"/>
        <v>0</v>
      </c>
      <c r="CS47" s="308"/>
      <c r="CT47" s="662">
        <f t="shared" si="126"/>
        <v>0</v>
      </c>
      <c r="EP47" s="322"/>
      <c r="EQ47" s="208"/>
      <c r="ER47" s="297"/>
    </row>
    <row r="48" spans="2:153" ht="13.5" thickBot="1" x14ac:dyDescent="0.25">
      <c r="B48" s="1365" t="s">
        <v>133</v>
      </c>
      <c r="C48" s="3"/>
      <c r="D48" s="723">
        <f>'7 Kiinteät kustannukset'!V12</f>
        <v>0</v>
      </c>
      <c r="E48" s="225"/>
      <c r="F48" s="666">
        <f>IF(E25=0,0,D48/$E$25)</f>
        <v>0</v>
      </c>
      <c r="G48" s="14"/>
      <c r="H48" s="1597"/>
      <c r="I48" s="227"/>
      <c r="J48" s="662">
        <f>IF(I25=0,0,H48/$I$25)</f>
        <v>0</v>
      </c>
      <c r="K48" s="7"/>
      <c r="L48" s="678">
        <f t="shared" si="112"/>
        <v>0</v>
      </c>
      <c r="M48" s="310"/>
      <c r="N48" s="662">
        <f t="shared" si="113"/>
        <v>0</v>
      </c>
      <c r="P48" s="1365" t="s">
        <v>133</v>
      </c>
      <c r="Q48" s="3"/>
      <c r="R48" s="723">
        <f>'7 Kiinteät kustannukset'!W12</f>
        <v>0</v>
      </c>
      <c r="S48" s="225"/>
      <c r="T48" s="666">
        <f>IF(S25=0,0,R48/$S$25)</f>
        <v>0</v>
      </c>
      <c r="U48" s="14"/>
      <c r="V48" s="1597"/>
      <c r="W48" s="227"/>
      <c r="X48" s="662">
        <f>IF(W25=0,0,V48/$W$25)</f>
        <v>0</v>
      </c>
      <c r="Y48" s="7"/>
      <c r="Z48" s="678">
        <f t="shared" si="114"/>
        <v>0</v>
      </c>
      <c r="AA48" s="310"/>
      <c r="AB48" s="662">
        <f t="shared" si="115"/>
        <v>0</v>
      </c>
      <c r="AD48" s="1365" t="s">
        <v>133</v>
      </c>
      <c r="AE48" s="3"/>
      <c r="AF48" s="723">
        <f>'7 Kiinteät kustannukset'!X12</f>
        <v>0</v>
      </c>
      <c r="AG48" s="225"/>
      <c r="AH48" s="666">
        <f>IF(AG25=0,0,AF48/$AG$25)</f>
        <v>0</v>
      </c>
      <c r="AI48" s="14"/>
      <c r="AJ48" s="1597"/>
      <c r="AK48" s="227"/>
      <c r="AL48" s="662">
        <f>IF(AK25=0,0,AJ48/$AK$25)</f>
        <v>0</v>
      </c>
      <c r="AM48" s="7"/>
      <c r="AN48" s="678">
        <f t="shared" si="116"/>
        <v>0</v>
      </c>
      <c r="AO48" s="310"/>
      <c r="AP48" s="662">
        <f t="shared" si="117"/>
        <v>0</v>
      </c>
      <c r="AR48" s="1365" t="s">
        <v>133</v>
      </c>
      <c r="AS48" s="3"/>
      <c r="AT48" s="723">
        <f>'7 Kiinteät kustannukset'!Y12</f>
        <v>0</v>
      </c>
      <c r="AU48" s="225"/>
      <c r="AV48" s="666">
        <f>IF(AU25=0,0,AT48/$AU$25)</f>
        <v>0</v>
      </c>
      <c r="AW48" s="14"/>
      <c r="AX48" s="1597"/>
      <c r="AY48" s="227"/>
      <c r="AZ48" s="662">
        <f>IF(AY25=0,0,AX48/$AY$25)</f>
        <v>0</v>
      </c>
      <c r="BA48" s="7"/>
      <c r="BB48" s="678">
        <f t="shared" si="118"/>
        <v>0</v>
      </c>
      <c r="BC48" s="310"/>
      <c r="BD48" s="662">
        <f t="shared" si="119"/>
        <v>0</v>
      </c>
      <c r="BE48" s="314"/>
      <c r="BF48" s="1365" t="s">
        <v>133</v>
      </c>
      <c r="BG48" s="3"/>
      <c r="BH48" s="723">
        <f>'7 Kiinteät kustannukset'!Z12</f>
        <v>0</v>
      </c>
      <c r="BI48" s="225"/>
      <c r="BJ48" s="666">
        <f>IF(BI25=0,0,BH48/$BI$25)</f>
        <v>0</v>
      </c>
      <c r="BK48" s="14"/>
      <c r="BL48" s="1597"/>
      <c r="BM48" s="227"/>
      <c r="BN48" s="662">
        <f>IF(BM25=0,0,BL48/$BM$25)</f>
        <v>0</v>
      </c>
      <c r="BO48" s="7"/>
      <c r="BP48" s="678">
        <f t="shared" si="120"/>
        <v>0</v>
      </c>
      <c r="BQ48" s="310"/>
      <c r="BR48" s="662">
        <f t="shared" si="121"/>
        <v>0</v>
      </c>
      <c r="BS48" s="297"/>
      <c r="BT48" s="1365" t="s">
        <v>133</v>
      </c>
      <c r="BU48" s="3"/>
      <c r="BV48" s="723">
        <f>'7 Kiinteät kustannukset'!AA12</f>
        <v>0</v>
      </c>
      <c r="BW48" s="225"/>
      <c r="BX48" s="666">
        <f>IF(BW25=0,0,BV48/$BW$25)</f>
        <v>0</v>
      </c>
      <c r="BY48" s="14"/>
      <c r="BZ48" s="1597"/>
      <c r="CA48" s="227"/>
      <c r="CB48" s="662">
        <f>IF(CA25=0,0,BZ48/$CA$25)</f>
        <v>0</v>
      </c>
      <c r="CC48" s="7"/>
      <c r="CD48" s="678">
        <f t="shared" si="122"/>
        <v>0</v>
      </c>
      <c r="CE48" s="310"/>
      <c r="CF48" s="662">
        <f t="shared" si="123"/>
        <v>0</v>
      </c>
      <c r="CH48" s="1365" t="s">
        <v>133</v>
      </c>
      <c r="CI48" s="3"/>
      <c r="CJ48" s="676">
        <f t="shared" si="127"/>
        <v>0</v>
      </c>
      <c r="CK48" s="227"/>
      <c r="CL48" s="672">
        <f>IF(CK25=0,0,CJ48/$CK$25)</f>
        <v>0</v>
      </c>
      <c r="CM48" s="237"/>
      <c r="CN48" s="676">
        <f t="shared" si="124"/>
        <v>0</v>
      </c>
      <c r="CO48" s="227"/>
      <c r="CP48" s="672">
        <f>IF(CO25=0,0,CN48/$CO$25)</f>
        <v>0</v>
      </c>
      <c r="CQ48" s="237"/>
      <c r="CR48" s="678">
        <f t="shared" si="125"/>
        <v>0</v>
      </c>
      <c r="CS48" s="310"/>
      <c r="CT48" s="662">
        <f t="shared" si="126"/>
        <v>0</v>
      </c>
      <c r="EN48" s="327"/>
      <c r="EP48" s="322"/>
      <c r="EQ48" s="208"/>
      <c r="ER48" s="297"/>
    </row>
    <row r="49" spans="2:150" ht="13.5" thickBot="1" x14ac:dyDescent="0.25">
      <c r="B49" s="318" t="s">
        <v>249</v>
      </c>
      <c r="C49" s="158"/>
      <c r="D49" s="19"/>
      <c r="E49" s="811">
        <f>SUM(D43:D48)</f>
        <v>0</v>
      </c>
      <c r="F49" s="812">
        <f>IF(E25=0,0,E49/$E$25)</f>
        <v>0</v>
      </c>
      <c r="G49" s="19"/>
      <c r="H49" s="6"/>
      <c r="I49" s="811">
        <f>SUM(H43:H48)</f>
        <v>0</v>
      </c>
      <c r="J49" s="812">
        <f>IF(I25=0,0,I49/$I$25)</f>
        <v>0</v>
      </c>
      <c r="K49" s="158"/>
      <c r="L49" s="6"/>
      <c r="M49" s="811">
        <f>I49-E49</f>
        <v>0</v>
      </c>
      <c r="N49" s="812">
        <f>IF(M49=0,0,M49/E49)</f>
        <v>0</v>
      </c>
      <c r="P49" s="318" t="s">
        <v>249</v>
      </c>
      <c r="Q49" s="158"/>
      <c r="R49" s="19"/>
      <c r="S49" s="811">
        <f>SUM(R43:R48)</f>
        <v>0</v>
      </c>
      <c r="T49" s="812">
        <f>IF(S25=0,0,S49/$S$25)</f>
        <v>0</v>
      </c>
      <c r="U49" s="19"/>
      <c r="V49" s="6"/>
      <c r="W49" s="811">
        <f>SUM(V43:V48)</f>
        <v>0</v>
      </c>
      <c r="X49" s="812">
        <f>IF(W25=0,0,W49/$W$25)</f>
        <v>0</v>
      </c>
      <c r="Y49" s="158"/>
      <c r="Z49" s="6"/>
      <c r="AA49" s="811">
        <f>W49-S49</f>
        <v>0</v>
      </c>
      <c r="AB49" s="812">
        <f>IF(AA49=0,0,AA49/S49)</f>
        <v>0</v>
      </c>
      <c r="AD49" s="318" t="s">
        <v>249</v>
      </c>
      <c r="AE49" s="158"/>
      <c r="AF49" s="19"/>
      <c r="AG49" s="811">
        <f>SUM(AF43:AF48)</f>
        <v>0</v>
      </c>
      <c r="AH49" s="812">
        <f>IF(AG25=0,0,AG49/$AG$25)</f>
        <v>0</v>
      </c>
      <c r="AI49" s="19"/>
      <c r="AJ49" s="6"/>
      <c r="AK49" s="811">
        <f>SUM(AJ43:AJ48)</f>
        <v>0</v>
      </c>
      <c r="AL49" s="812">
        <f>IF(AK25=0,0,AK49/$AK$25)</f>
        <v>0</v>
      </c>
      <c r="AM49" s="158"/>
      <c r="AN49" s="6"/>
      <c r="AO49" s="811">
        <f>AK49-AG49</f>
        <v>0</v>
      </c>
      <c r="AP49" s="812">
        <f>IF(AO49=0,0,AO49/AG49)</f>
        <v>0</v>
      </c>
      <c r="AR49" s="318" t="s">
        <v>249</v>
      </c>
      <c r="AS49" s="158"/>
      <c r="AT49" s="19"/>
      <c r="AU49" s="811">
        <f>SUM(AT43:AT48)</f>
        <v>0</v>
      </c>
      <c r="AV49" s="812">
        <f>IF(AU25=0,0,AU49/$AU$25)</f>
        <v>0</v>
      </c>
      <c r="AW49" s="19"/>
      <c r="AX49" s="6"/>
      <c r="AY49" s="811">
        <f>SUM(AX43:AX48)</f>
        <v>0</v>
      </c>
      <c r="AZ49" s="812">
        <f>IF(AY25=0,0,AY49/$AY$25)</f>
        <v>0</v>
      </c>
      <c r="BA49" s="158"/>
      <c r="BB49" s="6"/>
      <c r="BC49" s="811">
        <f>AY49-AU49</f>
        <v>0</v>
      </c>
      <c r="BD49" s="812">
        <f>IF(BC49=0,0,BC49/AU49)</f>
        <v>0</v>
      </c>
      <c r="BE49" s="314"/>
      <c r="BF49" s="318" t="s">
        <v>249</v>
      </c>
      <c r="BG49" s="158"/>
      <c r="BH49" s="19"/>
      <c r="BI49" s="811">
        <f>SUM(BH43:BH48)</f>
        <v>0</v>
      </c>
      <c r="BJ49" s="812">
        <f>IF(BI25=0,0,BI49/$BI$25)</f>
        <v>0</v>
      </c>
      <c r="BK49" s="19"/>
      <c r="BL49" s="6"/>
      <c r="BM49" s="811">
        <f>SUM(BL43:BL48)</f>
        <v>0</v>
      </c>
      <c r="BN49" s="812">
        <f>IF(BM25=0,0,BM49/$BM$25)</f>
        <v>0</v>
      </c>
      <c r="BO49" s="158"/>
      <c r="BP49" s="6"/>
      <c r="BQ49" s="811">
        <f>BM49-BI49</f>
        <v>0</v>
      </c>
      <c r="BR49" s="812">
        <f>IF(BQ49=0,0,BQ49/BI49)</f>
        <v>0</v>
      </c>
      <c r="BS49" s="297"/>
      <c r="BT49" s="318" t="s">
        <v>249</v>
      </c>
      <c r="BU49" s="158"/>
      <c r="BV49" s="19"/>
      <c r="BW49" s="811">
        <f>SUM(BV43:BV48)</f>
        <v>0</v>
      </c>
      <c r="BX49" s="812">
        <f>IF(BW25=0,0,BW49/$BW$25)</f>
        <v>0</v>
      </c>
      <c r="BY49" s="19"/>
      <c r="BZ49" s="6"/>
      <c r="CA49" s="811">
        <f>SUM(BZ43:BZ48)</f>
        <v>0</v>
      </c>
      <c r="CB49" s="812">
        <f>IF(CA25=0,0,CA49/$CA$25)</f>
        <v>0</v>
      </c>
      <c r="CC49" s="158"/>
      <c r="CD49" s="6"/>
      <c r="CE49" s="811">
        <f>CA49-BW49</f>
        <v>0</v>
      </c>
      <c r="CF49" s="812">
        <f>IF(CE49=0,0,CE49/BW49)</f>
        <v>0</v>
      </c>
      <c r="CH49" s="318" t="s">
        <v>249</v>
      </c>
      <c r="CI49" s="158"/>
      <c r="CJ49" s="6"/>
      <c r="CK49" s="1198">
        <f>SUM(CJ43:CJ48)</f>
        <v>0</v>
      </c>
      <c r="CL49" s="668">
        <f>IF(CK25=0,0,CK49/$CK$25)</f>
        <v>0</v>
      </c>
      <c r="CM49" s="412"/>
      <c r="CN49" s="730"/>
      <c r="CO49" s="653">
        <f>SUM(CN43:CN48)</f>
        <v>0</v>
      </c>
      <c r="CP49" s="668">
        <f>IF(CO25=0,0,CO49/$CO$25)</f>
        <v>0</v>
      </c>
      <c r="CQ49" s="412"/>
      <c r="CR49" s="730"/>
      <c r="CS49" s="653">
        <f>CO49-CK49</f>
        <v>0</v>
      </c>
      <c r="CT49" s="675">
        <f>IF(CS49=0,0,CS49/CK49)</f>
        <v>0</v>
      </c>
      <c r="DT49" s="1157" t="s">
        <v>1</v>
      </c>
      <c r="EN49" s="327"/>
      <c r="EP49" s="322"/>
      <c r="EQ49" s="208"/>
      <c r="ER49" s="297"/>
    </row>
    <row r="50" spans="2:150" ht="13.5" thickBot="1" x14ac:dyDescent="0.25">
      <c r="B50" s="318" t="s">
        <v>254</v>
      </c>
      <c r="C50" s="7"/>
      <c r="D50" s="14"/>
      <c r="E50" s="813">
        <f>E25-E41-E49</f>
        <v>0</v>
      </c>
      <c r="F50" s="814">
        <f>IF(E25=0,0,E50/$E$25)</f>
        <v>0</v>
      </c>
      <c r="G50" s="14"/>
      <c r="H50" s="17"/>
      <c r="I50" s="813">
        <f>I25-I41-I49</f>
        <v>0</v>
      </c>
      <c r="J50" s="814">
        <f>IF(I25=0,0,I50/$I$25)</f>
        <v>0</v>
      </c>
      <c r="K50" s="7"/>
      <c r="L50" s="17"/>
      <c r="M50" s="813">
        <f>I50-E50</f>
        <v>0</v>
      </c>
      <c r="N50" s="814">
        <f>IF(M50=0,0,M50/ABS(E50))</f>
        <v>0</v>
      </c>
      <c r="P50" s="318" t="s">
        <v>254</v>
      </c>
      <c r="Q50" s="7"/>
      <c r="R50" s="14"/>
      <c r="S50" s="813">
        <f>S25-S41-S49</f>
        <v>0</v>
      </c>
      <c r="T50" s="814">
        <f>IF(S25=0,0,S50/$S$25)</f>
        <v>0</v>
      </c>
      <c r="U50" s="14"/>
      <c r="V50" s="17"/>
      <c r="W50" s="813">
        <f>W25-W41-W49</f>
        <v>0</v>
      </c>
      <c r="X50" s="814">
        <f>IF(W25=0,0,W50/$W$25)</f>
        <v>0</v>
      </c>
      <c r="Y50" s="7"/>
      <c r="Z50" s="17"/>
      <c r="AA50" s="813">
        <f>W50-S50</f>
        <v>0</v>
      </c>
      <c r="AB50" s="814">
        <f>IF(AA50=0,0,AA50/ABS(S50))</f>
        <v>0</v>
      </c>
      <c r="AD50" s="318" t="s">
        <v>254</v>
      </c>
      <c r="AE50" s="7"/>
      <c r="AF50" s="14"/>
      <c r="AG50" s="813">
        <f>AG25-AG41-AG49</f>
        <v>0</v>
      </c>
      <c r="AH50" s="814">
        <f>IF(AG25=0,0,AG50/$AG$25)</f>
        <v>0</v>
      </c>
      <c r="AI50" s="14"/>
      <c r="AJ50" s="17"/>
      <c r="AK50" s="813">
        <f>AK25-AK41-AK49</f>
        <v>0</v>
      </c>
      <c r="AL50" s="814">
        <f>IF(AK25=0,0,AK50/$AK$25)</f>
        <v>0</v>
      </c>
      <c r="AM50" s="7"/>
      <c r="AN50" s="17"/>
      <c r="AO50" s="813">
        <f>AK50-AG50</f>
        <v>0</v>
      </c>
      <c r="AP50" s="814">
        <f>IF(AO50=0,0,AO50/ABS(AG50))</f>
        <v>0</v>
      </c>
      <c r="AR50" s="318" t="s">
        <v>254</v>
      </c>
      <c r="AS50" s="7"/>
      <c r="AT50" s="14"/>
      <c r="AU50" s="813">
        <f>AU25-AU41-AU49</f>
        <v>0</v>
      </c>
      <c r="AV50" s="814">
        <f>IF(AU25=0,0,AU50/$AU$25)</f>
        <v>0</v>
      </c>
      <c r="AW50" s="14"/>
      <c r="AX50" s="17"/>
      <c r="AY50" s="813">
        <f>AY25-AY41-AY49</f>
        <v>0</v>
      </c>
      <c r="AZ50" s="814">
        <f>IF(AY25=0,0,AY50/$AY$25)</f>
        <v>0</v>
      </c>
      <c r="BA50" s="7"/>
      <c r="BB50" s="17"/>
      <c r="BC50" s="813">
        <f>AY50-AU50</f>
        <v>0</v>
      </c>
      <c r="BD50" s="814">
        <f>IF(BC50=0,0,BC50/ABS(AU50))</f>
        <v>0</v>
      </c>
      <c r="BE50" s="314"/>
      <c r="BF50" s="318" t="s">
        <v>254</v>
      </c>
      <c r="BG50" s="7"/>
      <c r="BH50" s="14"/>
      <c r="BI50" s="813">
        <f>BI25-BI41-BI49</f>
        <v>0</v>
      </c>
      <c r="BJ50" s="814">
        <f>IF(BI25=0,0,BI50/$BI$25)</f>
        <v>0</v>
      </c>
      <c r="BK50" s="14"/>
      <c r="BL50" s="17"/>
      <c r="BM50" s="813">
        <f>BM25-BM41-BM49</f>
        <v>0</v>
      </c>
      <c r="BN50" s="814">
        <f>IF(BM25=0,0,BM50/$BM$25)</f>
        <v>0</v>
      </c>
      <c r="BO50" s="7"/>
      <c r="BP50" s="17"/>
      <c r="BQ50" s="813">
        <f>BM50-BI50</f>
        <v>0</v>
      </c>
      <c r="BR50" s="814">
        <f>IF(BQ50=0,0,BQ50/ABS(BI50))</f>
        <v>0</v>
      </c>
      <c r="BS50" s="297"/>
      <c r="BT50" s="318" t="s">
        <v>254</v>
      </c>
      <c r="BU50" s="7"/>
      <c r="BV50" s="14"/>
      <c r="BW50" s="813">
        <f>BW25-BW41-BW49</f>
        <v>0</v>
      </c>
      <c r="BX50" s="814">
        <f>IF(BW25=0,0,BW50/$BW$25)</f>
        <v>0</v>
      </c>
      <c r="BY50" s="14"/>
      <c r="BZ50" s="17"/>
      <c r="CA50" s="813">
        <f>CA25-CA41-CA49</f>
        <v>0</v>
      </c>
      <c r="CB50" s="814">
        <f>IF(CA25=0,0,CA50/$CA$25)</f>
        <v>0</v>
      </c>
      <c r="CC50" s="7"/>
      <c r="CD50" s="17"/>
      <c r="CE50" s="813">
        <f>CA50-BW50</f>
        <v>0</v>
      </c>
      <c r="CF50" s="814">
        <f>IF(CE50=0,0,CE50/ABS(BW50))</f>
        <v>0</v>
      </c>
      <c r="CH50" s="318" t="s">
        <v>254</v>
      </c>
      <c r="CI50" s="7"/>
      <c r="CJ50" s="17"/>
      <c r="CK50" s="1198">
        <f>CK25-CK41-CK49</f>
        <v>0</v>
      </c>
      <c r="CL50" s="668">
        <f>IF(CK25=0,0,CK50/$CK$25)</f>
        <v>0</v>
      </c>
      <c r="CM50" s="237"/>
      <c r="CN50" s="411"/>
      <c r="CO50" s="653">
        <f>CO25-CO41-CO49</f>
        <v>0</v>
      </c>
      <c r="CP50" s="668">
        <f>IF(CO25=0,0,CO50/$CO$25)</f>
        <v>0</v>
      </c>
      <c r="CQ50" s="237"/>
      <c r="CR50" s="411"/>
      <c r="CS50" s="653">
        <f>CO50-CK50</f>
        <v>0</v>
      </c>
      <c r="CT50" s="675">
        <f>IF(CS50=0,0,CS50/ABS(CK50))</f>
        <v>0</v>
      </c>
      <c r="EN50" s="326"/>
      <c r="EQ50" s="87"/>
      <c r="ER50" s="297"/>
    </row>
    <row r="51" spans="2:150" ht="13.5" thickBot="1" x14ac:dyDescent="0.25">
      <c r="B51" s="185"/>
      <c r="C51" s="200"/>
      <c r="D51" s="10"/>
      <c r="E51" s="401"/>
      <c r="F51" s="402"/>
      <c r="G51" s="18"/>
      <c r="H51" s="10"/>
      <c r="I51" s="401"/>
      <c r="J51" s="402"/>
      <c r="K51" s="200"/>
      <c r="L51" s="10"/>
      <c r="M51" s="401"/>
      <c r="N51" s="402"/>
      <c r="P51" s="185"/>
      <c r="Q51" s="200"/>
      <c r="R51" s="10"/>
      <c r="S51" s="401"/>
      <c r="T51" s="402"/>
      <c r="U51" s="18"/>
      <c r="V51" s="10"/>
      <c r="W51" s="401"/>
      <c r="X51" s="402"/>
      <c r="Y51" s="200"/>
      <c r="Z51" s="10"/>
      <c r="AA51" s="401"/>
      <c r="AB51" s="402"/>
      <c r="AD51" s="185"/>
      <c r="AE51" s="200"/>
      <c r="AF51" s="10"/>
      <c r="AG51" s="401"/>
      <c r="AH51" s="402"/>
      <c r="AI51" s="18"/>
      <c r="AJ51" s="10"/>
      <c r="AK51" s="401"/>
      <c r="AL51" s="402"/>
      <c r="AM51" s="200"/>
      <c r="AN51" s="10"/>
      <c r="AO51" s="401"/>
      <c r="AP51" s="402"/>
      <c r="AR51" s="185"/>
      <c r="AS51" s="200"/>
      <c r="AT51" s="10"/>
      <c r="AU51" s="401"/>
      <c r="AV51" s="402"/>
      <c r="AW51" s="18"/>
      <c r="AX51" s="10"/>
      <c r="AY51" s="401"/>
      <c r="AZ51" s="402"/>
      <c r="BA51" s="200"/>
      <c r="BB51" s="10"/>
      <c r="BC51" s="401"/>
      <c r="BD51" s="402"/>
      <c r="BE51" s="314"/>
      <c r="BF51" s="185"/>
      <c r="BG51" s="200"/>
      <c r="BH51" s="10"/>
      <c r="BI51" s="401"/>
      <c r="BJ51" s="402"/>
      <c r="BK51" s="18"/>
      <c r="BL51" s="10"/>
      <c r="BM51" s="401"/>
      <c r="BN51" s="402"/>
      <c r="BO51" s="200"/>
      <c r="BP51" s="10"/>
      <c r="BQ51" s="401"/>
      <c r="BR51" s="402"/>
      <c r="BS51" s="298"/>
      <c r="BT51" s="185"/>
      <c r="BU51" s="200"/>
      <c r="BV51" s="10"/>
      <c r="BW51" s="401"/>
      <c r="BX51" s="402"/>
      <c r="BY51" s="18"/>
      <c r="BZ51" s="10"/>
      <c r="CA51" s="401"/>
      <c r="CB51" s="402"/>
      <c r="CC51" s="200"/>
      <c r="CD51" s="10"/>
      <c r="CE51" s="401"/>
      <c r="CF51" s="402"/>
      <c r="CH51" s="185"/>
      <c r="CI51" s="200"/>
      <c r="CJ51" s="409"/>
      <c r="CK51" s="727"/>
      <c r="CL51" s="403"/>
      <c r="CM51" s="232"/>
      <c r="CN51" s="409"/>
      <c r="CO51" s="728"/>
      <c r="CP51" s="403"/>
      <c r="CQ51" s="232"/>
      <c r="CR51" s="409"/>
      <c r="CS51" s="727"/>
      <c r="CT51" s="313"/>
      <c r="EN51" s="326"/>
      <c r="EQ51" s="328"/>
      <c r="ER51" s="297"/>
    </row>
    <row r="52" spans="2:150" x14ac:dyDescent="0.2">
      <c r="B52" s="1408" t="s">
        <v>622</v>
      </c>
      <c r="C52" s="211"/>
      <c r="D52" s="213"/>
      <c r="E52" s="312"/>
      <c r="F52" s="311"/>
      <c r="G52" s="212"/>
      <c r="H52" s="213"/>
      <c r="I52" s="312"/>
      <c r="J52" s="311"/>
      <c r="K52" s="211"/>
      <c r="L52" s="213"/>
      <c r="M52" s="312"/>
      <c r="N52" s="311"/>
      <c r="P52" s="1408" t="s">
        <v>622</v>
      </c>
      <c r="Q52" s="211"/>
      <c r="R52" s="213"/>
      <c r="S52" s="312"/>
      <c r="T52" s="311"/>
      <c r="U52" s="212"/>
      <c r="V52" s="213"/>
      <c r="W52" s="312"/>
      <c r="X52" s="311"/>
      <c r="Y52" s="211"/>
      <c r="Z52" s="213"/>
      <c r="AA52" s="312"/>
      <c r="AB52" s="311"/>
      <c r="AD52" s="1408" t="s">
        <v>622</v>
      </c>
      <c r="AE52" s="211"/>
      <c r="AF52" s="213"/>
      <c r="AG52" s="312"/>
      <c r="AH52" s="311"/>
      <c r="AI52" s="212"/>
      <c r="AJ52" s="213"/>
      <c r="AK52" s="312"/>
      <c r="AL52" s="311"/>
      <c r="AM52" s="211"/>
      <c r="AN52" s="213"/>
      <c r="AO52" s="312"/>
      <c r="AP52" s="311"/>
      <c r="AR52" s="1408" t="s">
        <v>622</v>
      </c>
      <c r="AS52" s="211"/>
      <c r="AT52" s="213"/>
      <c r="AU52" s="312"/>
      <c r="AV52" s="311"/>
      <c r="AW52" s="212"/>
      <c r="AX52" s="213"/>
      <c r="AY52" s="312"/>
      <c r="AZ52" s="311"/>
      <c r="BA52" s="211"/>
      <c r="BB52" s="213"/>
      <c r="BC52" s="312"/>
      <c r="BD52" s="311"/>
      <c r="BE52" s="314"/>
      <c r="BF52" s="1408" t="s">
        <v>622</v>
      </c>
      <c r="BG52" s="211"/>
      <c r="BH52" s="213"/>
      <c r="BI52" s="312"/>
      <c r="BJ52" s="311"/>
      <c r="BK52" s="212"/>
      <c r="BL52" s="213"/>
      <c r="BM52" s="312"/>
      <c r="BN52" s="311"/>
      <c r="BO52" s="211"/>
      <c r="BP52" s="213"/>
      <c r="BQ52" s="312"/>
      <c r="BR52" s="311"/>
      <c r="BS52" s="220"/>
      <c r="BT52" s="1408" t="s">
        <v>622</v>
      </c>
      <c r="BU52" s="211"/>
      <c r="BV52" s="213"/>
      <c r="BW52" s="312"/>
      <c r="BX52" s="311"/>
      <c r="BY52" s="212"/>
      <c r="BZ52" s="213"/>
      <c r="CA52" s="312"/>
      <c r="CB52" s="311"/>
      <c r="CC52" s="211"/>
      <c r="CD52" s="213"/>
      <c r="CE52" s="312"/>
      <c r="CF52" s="311"/>
      <c r="CH52" s="1408" t="s">
        <v>622</v>
      </c>
      <c r="CI52" s="211"/>
      <c r="CJ52" s="410"/>
      <c r="CK52" s="724"/>
      <c r="CL52" s="404"/>
      <c r="CM52" s="405"/>
      <c r="CN52" s="410"/>
      <c r="CO52" s="724"/>
      <c r="CP52" s="404"/>
      <c r="CQ52" s="725"/>
      <c r="CR52" s="410"/>
      <c r="CS52" s="729"/>
      <c r="CT52" s="311"/>
      <c r="EN52" s="326"/>
      <c r="EQ52" s="87"/>
      <c r="ER52" s="298"/>
    </row>
    <row r="53" spans="2:150" x14ac:dyDescent="0.2">
      <c r="B53" s="1364" t="s">
        <v>142</v>
      </c>
      <c r="C53" s="3"/>
      <c r="D53" s="678">
        <f>'7 Kiinteät kustannukset'!M39</f>
        <v>0</v>
      </c>
      <c r="E53" s="224"/>
      <c r="F53" s="662">
        <f>IF(E25=0,0,D53/$E$25)</f>
        <v>0</v>
      </c>
      <c r="G53" s="4"/>
      <c r="H53" s="1598"/>
      <c r="I53" s="224"/>
      <c r="J53" s="662">
        <f>IF(I25=0,0,H53/$I$25)</f>
        <v>0</v>
      </c>
      <c r="K53" s="3"/>
      <c r="L53" s="678">
        <f>H53-D53</f>
        <v>0</v>
      </c>
      <c r="M53" s="224"/>
      <c r="N53" s="662">
        <f>IF(L53=0,0,L53/D53)</f>
        <v>0</v>
      </c>
      <c r="P53" s="1364" t="s">
        <v>142</v>
      </c>
      <c r="Q53" s="3"/>
      <c r="R53" s="678">
        <f>'7 Kiinteät kustannukset'!N39</f>
        <v>0</v>
      </c>
      <c r="S53" s="224"/>
      <c r="T53" s="662">
        <f>IF(S25=0,0,R53/$S$25)</f>
        <v>0</v>
      </c>
      <c r="U53" s="4"/>
      <c r="V53" s="1598"/>
      <c r="W53" s="224"/>
      <c r="X53" s="662">
        <f>IF(W25=0,0,V53/$W$25)</f>
        <v>0</v>
      </c>
      <c r="Y53" s="3"/>
      <c r="Z53" s="678">
        <f>V53-R53</f>
        <v>0</v>
      </c>
      <c r="AA53" s="224"/>
      <c r="AB53" s="662">
        <f>IF(Z53=0,0,Z53/R53)</f>
        <v>0</v>
      </c>
      <c r="AD53" s="1364" t="s">
        <v>142</v>
      </c>
      <c r="AE53" s="3"/>
      <c r="AF53" s="678">
        <f>'7 Kiinteät kustannukset'!O39</f>
        <v>0</v>
      </c>
      <c r="AG53" s="224"/>
      <c r="AH53" s="662">
        <f>IF(AG25=0,0,AF53/$AG$25)</f>
        <v>0</v>
      </c>
      <c r="AI53" s="4"/>
      <c r="AJ53" s="1598"/>
      <c r="AK53" s="224"/>
      <c r="AL53" s="662">
        <f>IF(AK25=0,0,AJ53/$AK$25)</f>
        <v>0</v>
      </c>
      <c r="AM53" s="3"/>
      <c r="AN53" s="678">
        <f>AJ53-AF53</f>
        <v>0</v>
      </c>
      <c r="AO53" s="224"/>
      <c r="AP53" s="662">
        <f>IF(AN53=0,0,AN53/AF53)</f>
        <v>0</v>
      </c>
      <c r="AR53" s="1364" t="s">
        <v>142</v>
      </c>
      <c r="AS53" s="3"/>
      <c r="AT53" s="678">
        <f>'7 Kiinteät kustannukset'!P39</f>
        <v>0</v>
      </c>
      <c r="AU53" s="224"/>
      <c r="AV53" s="662">
        <f>IF(AU25=0,0,AT53/$AU$25)</f>
        <v>0</v>
      </c>
      <c r="AW53" s="4"/>
      <c r="AX53" s="1598"/>
      <c r="AY53" s="224"/>
      <c r="AZ53" s="662">
        <f>IF(AY25=0,0,AX53/$AY$25)</f>
        <v>0</v>
      </c>
      <c r="BA53" s="3"/>
      <c r="BB53" s="678">
        <f>AX53-AT53</f>
        <v>0</v>
      </c>
      <c r="BC53" s="224"/>
      <c r="BD53" s="662">
        <f>IF(BB53=0,0,BB53/AT53)</f>
        <v>0</v>
      </c>
      <c r="BE53" s="314"/>
      <c r="BF53" s="1364" t="s">
        <v>142</v>
      </c>
      <c r="BG53" s="3"/>
      <c r="BH53" s="678">
        <f>'7 Kiinteät kustannukset'!Q39</f>
        <v>0</v>
      </c>
      <c r="BI53" s="224"/>
      <c r="BJ53" s="662">
        <f>IF(BI25=0,0,BH53/$BI$25)</f>
        <v>0</v>
      </c>
      <c r="BK53" s="4"/>
      <c r="BL53" s="1598"/>
      <c r="BM53" s="224"/>
      <c r="BN53" s="662">
        <f>IF(BM25=0,0,BL53/$BM$25)</f>
        <v>0</v>
      </c>
      <c r="BO53" s="3"/>
      <c r="BP53" s="678">
        <f>BL53-BH53</f>
        <v>0</v>
      </c>
      <c r="BQ53" s="224"/>
      <c r="BR53" s="662">
        <f>IF(BP53=0,0,BP53/BH53)</f>
        <v>0</v>
      </c>
      <c r="BS53" s="297"/>
      <c r="BT53" s="1364" t="s">
        <v>142</v>
      </c>
      <c r="BU53" s="3"/>
      <c r="BV53" s="678">
        <f>'7 Kiinteät kustannukset'!R39</f>
        <v>0</v>
      </c>
      <c r="BW53" s="224"/>
      <c r="BX53" s="662">
        <f>IF(BW25=0,0,BV53/$BW$25)</f>
        <v>0</v>
      </c>
      <c r="BY53" s="4"/>
      <c r="BZ53" s="1598"/>
      <c r="CA53" s="224"/>
      <c r="CB53" s="662">
        <f>IF(CA25=0,0,BZ53/$CA$25)</f>
        <v>0</v>
      </c>
      <c r="CC53" s="3"/>
      <c r="CD53" s="678">
        <f>BZ53-BV53</f>
        <v>0</v>
      </c>
      <c r="CE53" s="224"/>
      <c r="CF53" s="662">
        <f>IF(CD53=0,0,CD53/BV53)</f>
        <v>0</v>
      </c>
      <c r="CH53" s="1364" t="s">
        <v>142</v>
      </c>
      <c r="CI53" s="3"/>
      <c r="CJ53" s="678">
        <f>D53+R53+AF53+AT53+BH53+BV53</f>
        <v>0</v>
      </c>
      <c r="CK53" s="225"/>
      <c r="CL53" s="672">
        <f>IF(CK25=0,0,CJ53/$CK$25)</f>
        <v>0</v>
      </c>
      <c r="CM53" s="231"/>
      <c r="CN53" s="676">
        <f>H53+V53+AJ53+AX53+BL53+BZ53</f>
        <v>0</v>
      </c>
      <c r="CO53" s="225"/>
      <c r="CP53" s="672">
        <f>IF(CO25=0,0,CN53/$CO$25)</f>
        <v>0</v>
      </c>
      <c r="CQ53" s="231"/>
      <c r="CR53" s="678">
        <f>CN53-CJ53</f>
        <v>0</v>
      </c>
      <c r="CS53" s="308"/>
      <c r="CT53" s="662">
        <f>IF(CR53=0,0,CR53/CJ53)</f>
        <v>0</v>
      </c>
      <c r="EN53" s="325"/>
      <c r="ER53" s="220"/>
    </row>
    <row r="54" spans="2:150" x14ac:dyDescent="0.2">
      <c r="B54" s="1364" t="s">
        <v>158</v>
      </c>
      <c r="C54" s="3"/>
      <c r="D54" s="676">
        <f>'7 Kiinteät kustannukset'!M45</f>
        <v>0</v>
      </c>
      <c r="E54" s="224"/>
      <c r="F54" s="662">
        <f>IF(E25=0,0,D54/$E$25)</f>
        <v>0</v>
      </c>
      <c r="G54" s="4"/>
      <c r="H54" s="1596"/>
      <c r="I54" s="224"/>
      <c r="J54" s="662">
        <f>IF(I25=0,0,H54/$I$25)</f>
        <v>0</v>
      </c>
      <c r="K54" s="3"/>
      <c r="L54" s="678">
        <f>H54-D54</f>
        <v>0</v>
      </c>
      <c r="M54" s="224"/>
      <c r="N54" s="662">
        <f>IF(L54=0,0,L54/D54)</f>
        <v>0</v>
      </c>
      <c r="P54" s="1364" t="s">
        <v>158</v>
      </c>
      <c r="Q54" s="3"/>
      <c r="R54" s="676">
        <f>'7 Kiinteät kustannukset'!N45</f>
        <v>0</v>
      </c>
      <c r="S54" s="224"/>
      <c r="T54" s="662">
        <f>IF(S25=0,0,R54/$S$25)</f>
        <v>0</v>
      </c>
      <c r="U54" s="4"/>
      <c r="V54" s="1596"/>
      <c r="W54" s="224"/>
      <c r="X54" s="662">
        <f>IF(W25=0,0,V54/$W$25)</f>
        <v>0</v>
      </c>
      <c r="Y54" s="3"/>
      <c r="Z54" s="678">
        <f>V54-R54</f>
        <v>0</v>
      </c>
      <c r="AA54" s="224"/>
      <c r="AB54" s="662">
        <f>IF(Z54=0,0,Z54/R54)</f>
        <v>0</v>
      </c>
      <c r="AD54" s="1364" t="s">
        <v>158</v>
      </c>
      <c r="AE54" s="3"/>
      <c r="AF54" s="676">
        <f>'7 Kiinteät kustannukset'!O45</f>
        <v>0</v>
      </c>
      <c r="AG54" s="224"/>
      <c r="AH54" s="662">
        <f>IF(AG25=0,0,AF54/$AG$25)</f>
        <v>0</v>
      </c>
      <c r="AI54" s="4"/>
      <c r="AJ54" s="1596"/>
      <c r="AK54" s="224"/>
      <c r="AL54" s="662">
        <f>IF(AK25=0,0,AJ54/$AK$25)</f>
        <v>0</v>
      </c>
      <c r="AM54" s="3"/>
      <c r="AN54" s="678">
        <f>AJ54-AF54</f>
        <v>0</v>
      </c>
      <c r="AO54" s="224"/>
      <c r="AP54" s="662">
        <f>IF(AN54=0,0,AN54/AF54)</f>
        <v>0</v>
      </c>
      <c r="AR54" s="1364" t="s">
        <v>158</v>
      </c>
      <c r="AS54" s="3"/>
      <c r="AT54" s="676">
        <f>'7 Kiinteät kustannukset'!P45</f>
        <v>0</v>
      </c>
      <c r="AU54" s="224"/>
      <c r="AV54" s="662">
        <f>IF(AU25=0,0,AT54/$AU$25)</f>
        <v>0</v>
      </c>
      <c r="AW54" s="4"/>
      <c r="AX54" s="1596"/>
      <c r="AY54" s="224"/>
      <c r="AZ54" s="662">
        <f>IF(AY25=0,0,AX54/$AY$25)</f>
        <v>0</v>
      </c>
      <c r="BA54" s="3"/>
      <c r="BB54" s="678">
        <f>AX54-AT54</f>
        <v>0</v>
      </c>
      <c r="BC54" s="224"/>
      <c r="BD54" s="662">
        <f>IF(BB54=0,0,BB54/AT54)</f>
        <v>0</v>
      </c>
      <c r="BE54" s="314"/>
      <c r="BF54" s="1364" t="s">
        <v>158</v>
      </c>
      <c r="BG54" s="3"/>
      <c r="BH54" s="676">
        <f>'7 Kiinteät kustannukset'!Q45</f>
        <v>0</v>
      </c>
      <c r="BI54" s="224"/>
      <c r="BJ54" s="662">
        <f>IF(BI25=0,0,BH54/$BI$25)</f>
        <v>0</v>
      </c>
      <c r="BK54" s="4"/>
      <c r="BL54" s="1596"/>
      <c r="BM54" s="224"/>
      <c r="BN54" s="662">
        <f>IF(BM25=0,0,BL54/$BM$25)</f>
        <v>0</v>
      </c>
      <c r="BO54" s="3"/>
      <c r="BP54" s="678">
        <f>BL54-BH54</f>
        <v>0</v>
      </c>
      <c r="BQ54" s="224"/>
      <c r="BR54" s="662">
        <f>IF(BP54=0,0,BP54/BH54)</f>
        <v>0</v>
      </c>
      <c r="BS54" s="297"/>
      <c r="BT54" s="1364" t="s">
        <v>158</v>
      </c>
      <c r="BU54" s="3"/>
      <c r="BV54" s="676">
        <f>'7 Kiinteät kustannukset'!R45</f>
        <v>0</v>
      </c>
      <c r="BW54" s="224"/>
      <c r="BX54" s="662">
        <f>IF(BW25=0,0,BV54/$BW$25)</f>
        <v>0</v>
      </c>
      <c r="BY54" s="4"/>
      <c r="BZ54" s="1596"/>
      <c r="CA54" s="224"/>
      <c r="CB54" s="662">
        <f>IF(CA25=0,0,BZ54/$CA$25)</f>
        <v>0</v>
      </c>
      <c r="CC54" s="3"/>
      <c r="CD54" s="678">
        <f>BZ54-BV54</f>
        <v>0</v>
      </c>
      <c r="CE54" s="224"/>
      <c r="CF54" s="662">
        <f>IF(CD54=0,0,CD54/BV54)</f>
        <v>0</v>
      </c>
      <c r="CH54" s="1364" t="s">
        <v>158</v>
      </c>
      <c r="CI54" s="3"/>
      <c r="CJ54" s="678">
        <f>D54+R54+AF54+AT54+BH54+BV54</f>
        <v>0</v>
      </c>
      <c r="CK54" s="225"/>
      <c r="CL54" s="672">
        <f>IF(CK25=0,0,CJ54/$CK$25)</f>
        <v>0</v>
      </c>
      <c r="CM54" s="231"/>
      <c r="CN54" s="676">
        <f>H54+V54+AJ54+AX54+BL54+BZ54</f>
        <v>0</v>
      </c>
      <c r="CO54" s="225"/>
      <c r="CP54" s="672">
        <f>IF(CO25=0,0,CN54/$CO$25)</f>
        <v>0</v>
      </c>
      <c r="CQ54" s="231"/>
      <c r="CR54" s="678">
        <f>CN54-CJ54</f>
        <v>0</v>
      </c>
      <c r="CS54" s="308"/>
      <c r="CT54" s="662">
        <f>IF(CR54=0,0,CR54/CJ54)</f>
        <v>0</v>
      </c>
      <c r="EN54" s="329"/>
      <c r="EP54" s="322"/>
      <c r="ER54" s="297"/>
    </row>
    <row r="55" spans="2:150" x14ac:dyDescent="0.2">
      <c r="B55" s="1364" t="s">
        <v>250</v>
      </c>
      <c r="C55" s="3"/>
      <c r="D55" s="676">
        <f>'7 Kiinteät kustannukset'!M66</f>
        <v>0</v>
      </c>
      <c r="E55" s="225"/>
      <c r="F55" s="662">
        <f>IF(E25=0,0,D55/$E$25)</f>
        <v>0</v>
      </c>
      <c r="G55" s="4"/>
      <c r="H55" s="1596"/>
      <c r="I55" s="225"/>
      <c r="J55" s="662">
        <f>IF(I25=0,0,H55/$I$25)</f>
        <v>0</v>
      </c>
      <c r="K55" s="3"/>
      <c r="L55" s="678">
        <f>H55-D55</f>
        <v>0</v>
      </c>
      <c r="M55" s="225"/>
      <c r="N55" s="662">
        <f>IF(L55=0,0,L55/D55)</f>
        <v>0</v>
      </c>
      <c r="P55" s="1364" t="s">
        <v>250</v>
      </c>
      <c r="Q55" s="3"/>
      <c r="R55" s="676">
        <f>'7 Kiinteät kustannukset'!N66</f>
        <v>0</v>
      </c>
      <c r="S55" s="225"/>
      <c r="T55" s="662">
        <f>IF(S25=0,0,R55/$S$25)</f>
        <v>0</v>
      </c>
      <c r="U55" s="4"/>
      <c r="V55" s="1596"/>
      <c r="W55" s="225"/>
      <c r="X55" s="662">
        <f>IF(W25=0,0,V55/$W$25)</f>
        <v>0</v>
      </c>
      <c r="Y55" s="3"/>
      <c r="Z55" s="678">
        <f>V55-R55</f>
        <v>0</v>
      </c>
      <c r="AA55" s="225"/>
      <c r="AB55" s="662">
        <f>IF(Z55=0,0,Z55/R55)</f>
        <v>0</v>
      </c>
      <c r="AD55" s="1364" t="s">
        <v>250</v>
      </c>
      <c r="AE55" s="3"/>
      <c r="AF55" s="676">
        <f>'7 Kiinteät kustannukset'!O66</f>
        <v>0</v>
      </c>
      <c r="AG55" s="225"/>
      <c r="AH55" s="662">
        <f>IF(AG25=0,0,AF55/$AG$25)</f>
        <v>0</v>
      </c>
      <c r="AI55" s="4"/>
      <c r="AJ55" s="1596"/>
      <c r="AK55" s="225"/>
      <c r="AL55" s="662">
        <f>IF(AK25=0,0,AJ55/$AK$25)</f>
        <v>0</v>
      </c>
      <c r="AM55" s="3"/>
      <c r="AN55" s="678">
        <f>AJ55-AF55</f>
        <v>0</v>
      </c>
      <c r="AO55" s="225"/>
      <c r="AP55" s="662">
        <f>IF(AN55=0,0,AN55/AF55)</f>
        <v>0</v>
      </c>
      <c r="AR55" s="1364" t="s">
        <v>250</v>
      </c>
      <c r="AS55" s="3"/>
      <c r="AT55" s="676">
        <f>'7 Kiinteät kustannukset'!P66</f>
        <v>0</v>
      </c>
      <c r="AU55" s="225"/>
      <c r="AV55" s="662">
        <f>IF(AU25=0,0,AT55/$AU$25)</f>
        <v>0</v>
      </c>
      <c r="AW55" s="4"/>
      <c r="AX55" s="1596"/>
      <c r="AY55" s="225"/>
      <c r="AZ55" s="662">
        <f>IF(AY25=0,0,AX55/$AY$25)</f>
        <v>0</v>
      </c>
      <c r="BA55" s="3"/>
      <c r="BB55" s="678">
        <f>AX55-AT55</f>
        <v>0</v>
      </c>
      <c r="BC55" s="225"/>
      <c r="BD55" s="662">
        <f>IF(BB55=0,0,BB55/AT55)</f>
        <v>0</v>
      </c>
      <c r="BE55" s="314"/>
      <c r="BF55" s="1364" t="s">
        <v>250</v>
      </c>
      <c r="BG55" s="3"/>
      <c r="BH55" s="676">
        <f>'7 Kiinteät kustannukset'!Q66</f>
        <v>0</v>
      </c>
      <c r="BI55" s="225"/>
      <c r="BJ55" s="662">
        <f>IF(BI25=0,0,BH55/$BI$25)</f>
        <v>0</v>
      </c>
      <c r="BK55" s="4"/>
      <c r="BL55" s="1596"/>
      <c r="BM55" s="225"/>
      <c r="BN55" s="662">
        <f>IF(BM25=0,0,BL55/$BM$25)</f>
        <v>0</v>
      </c>
      <c r="BO55" s="3"/>
      <c r="BP55" s="678">
        <f>BL55-BH55</f>
        <v>0</v>
      </c>
      <c r="BQ55" s="225"/>
      <c r="BR55" s="662">
        <f>IF(BP55=0,0,BP55/BH55)</f>
        <v>0</v>
      </c>
      <c r="BS55" s="297"/>
      <c r="BT55" s="1364" t="s">
        <v>250</v>
      </c>
      <c r="BU55" s="3"/>
      <c r="BV55" s="676">
        <f>'7 Kiinteät kustannukset'!R66</f>
        <v>0</v>
      </c>
      <c r="BW55" s="225"/>
      <c r="BX55" s="662">
        <f>IF(BW25=0,0,BV55/$BW$25)</f>
        <v>0</v>
      </c>
      <c r="BY55" s="4"/>
      <c r="BZ55" s="1596"/>
      <c r="CA55" s="225"/>
      <c r="CB55" s="662">
        <f>IF(CA25=0,0,BZ55/$CA$25)</f>
        <v>0</v>
      </c>
      <c r="CC55" s="3"/>
      <c r="CD55" s="678">
        <f>BZ55-BV55</f>
        <v>0</v>
      </c>
      <c r="CE55" s="225"/>
      <c r="CF55" s="662">
        <f>IF(CD55=0,0,CD55/BV55)</f>
        <v>0</v>
      </c>
      <c r="CH55" s="1364" t="s">
        <v>250</v>
      </c>
      <c r="CI55" s="3"/>
      <c r="CJ55" s="678">
        <f>D55+R55+AF55+AT55+BH55+BV55</f>
        <v>0</v>
      </c>
      <c r="CK55" s="225"/>
      <c r="CL55" s="672">
        <f>IF(CK25=0,0,CJ55/$CK$25)</f>
        <v>0</v>
      </c>
      <c r="CM55" s="231"/>
      <c r="CN55" s="676">
        <f>H55+V55+AJ55+AX55+BL55+BZ55</f>
        <v>0</v>
      </c>
      <c r="CO55" s="225"/>
      <c r="CP55" s="672">
        <f>IF(CO25=0,0,CN55/$CO$25)</f>
        <v>0</v>
      </c>
      <c r="CQ55" s="231"/>
      <c r="CR55" s="678">
        <f>CN55-CJ55</f>
        <v>0</v>
      </c>
      <c r="CS55" s="308"/>
      <c r="CT55" s="662">
        <f>IF(CR55=0,0,CR55/CJ55)</f>
        <v>0</v>
      </c>
      <c r="EN55" s="329"/>
      <c r="EP55" s="322"/>
      <c r="ER55" s="297"/>
    </row>
    <row r="56" spans="2:150" ht="13.5" thickBot="1" x14ac:dyDescent="0.25">
      <c r="B56" s="1365" t="s">
        <v>251</v>
      </c>
      <c r="C56" s="7"/>
      <c r="D56" s="676">
        <f>'7 Kiinteät kustannukset'!M72</f>
        <v>0</v>
      </c>
      <c r="E56" s="227"/>
      <c r="F56" s="662">
        <f>IF(E25=0,0,D56/$E$25)</f>
        <v>0</v>
      </c>
      <c r="G56" s="14"/>
      <c r="H56" s="1597"/>
      <c r="I56" s="227"/>
      <c r="J56" s="662">
        <f>IF(I25=0,0,H56/$I$25)</f>
        <v>0</v>
      </c>
      <c r="K56" s="7"/>
      <c r="L56" s="678">
        <f>H56-D56</f>
        <v>0</v>
      </c>
      <c r="M56" s="227"/>
      <c r="N56" s="662">
        <f>IF(L56=0,0,L56/D56)</f>
        <v>0</v>
      </c>
      <c r="P56" s="1365" t="s">
        <v>251</v>
      </c>
      <c r="Q56" s="7"/>
      <c r="R56" s="676">
        <f>'7 Kiinteät kustannukset'!N72</f>
        <v>0</v>
      </c>
      <c r="S56" s="227"/>
      <c r="T56" s="662">
        <f>IF(S25=0,0,R56/$S$25)</f>
        <v>0</v>
      </c>
      <c r="U56" s="14"/>
      <c r="V56" s="1597"/>
      <c r="W56" s="227"/>
      <c r="X56" s="662">
        <f>IF(W25=0,0,V56/$W$25)</f>
        <v>0</v>
      </c>
      <c r="Y56" s="7"/>
      <c r="Z56" s="678">
        <f>V56-R56</f>
        <v>0</v>
      </c>
      <c r="AA56" s="227"/>
      <c r="AB56" s="662">
        <f>IF(Z56=0,0,Z56/R56)</f>
        <v>0</v>
      </c>
      <c r="AD56" s="1365" t="s">
        <v>251</v>
      </c>
      <c r="AE56" s="7"/>
      <c r="AF56" s="676">
        <f>'7 Kiinteät kustannukset'!O72</f>
        <v>0</v>
      </c>
      <c r="AG56" s="227"/>
      <c r="AH56" s="662">
        <f>IF(AG25=0,0,AF56/$AG$25)</f>
        <v>0</v>
      </c>
      <c r="AI56" s="14"/>
      <c r="AJ56" s="1597"/>
      <c r="AK56" s="227"/>
      <c r="AL56" s="662">
        <f>IF(AK25=0,0,AJ56/$AK$25)</f>
        <v>0</v>
      </c>
      <c r="AM56" s="7"/>
      <c r="AN56" s="678">
        <f>AJ56-AF56</f>
        <v>0</v>
      </c>
      <c r="AO56" s="227"/>
      <c r="AP56" s="662">
        <f>IF(AN56=0,0,AN56/AF56)</f>
        <v>0</v>
      </c>
      <c r="AR56" s="1365" t="s">
        <v>251</v>
      </c>
      <c r="AS56" s="7"/>
      <c r="AT56" s="676">
        <f>'7 Kiinteät kustannukset'!P72</f>
        <v>0</v>
      </c>
      <c r="AU56" s="227"/>
      <c r="AV56" s="662">
        <f>IF(AU25=0,0,AT56/$AU$25)</f>
        <v>0</v>
      </c>
      <c r="AW56" s="14"/>
      <c r="AX56" s="1597"/>
      <c r="AY56" s="227"/>
      <c r="AZ56" s="662">
        <f>IF(AY25=0,0,AX56/$AY$25)</f>
        <v>0</v>
      </c>
      <c r="BA56" s="7"/>
      <c r="BB56" s="678">
        <f>AX56-AT56</f>
        <v>0</v>
      </c>
      <c r="BC56" s="227"/>
      <c r="BD56" s="662">
        <f>IF(BB56=0,0,BB56/AT56)</f>
        <v>0</v>
      </c>
      <c r="BE56" s="314"/>
      <c r="BF56" s="1365" t="s">
        <v>251</v>
      </c>
      <c r="BG56" s="7"/>
      <c r="BH56" s="676">
        <f>'7 Kiinteät kustannukset'!Q72</f>
        <v>0</v>
      </c>
      <c r="BI56" s="227"/>
      <c r="BJ56" s="662">
        <f>IF(BI25=0,0,BH56/$BI$25)</f>
        <v>0</v>
      </c>
      <c r="BK56" s="14"/>
      <c r="BL56" s="1597"/>
      <c r="BM56" s="227"/>
      <c r="BN56" s="662">
        <f>IF(BM25=0,0,BL56/$BM$25)</f>
        <v>0</v>
      </c>
      <c r="BO56" s="7"/>
      <c r="BP56" s="678">
        <f>BL56-BH56</f>
        <v>0</v>
      </c>
      <c r="BQ56" s="227"/>
      <c r="BR56" s="662">
        <f>IF(BP56=0,0,BP56/BH56)</f>
        <v>0</v>
      </c>
      <c r="BS56" s="297"/>
      <c r="BT56" s="1365" t="s">
        <v>251</v>
      </c>
      <c r="BU56" s="7"/>
      <c r="BV56" s="676">
        <f>'7 Kiinteät kustannukset'!R72</f>
        <v>0</v>
      </c>
      <c r="BW56" s="227"/>
      <c r="BX56" s="662">
        <f>IF(BW25=0,0,BV56/$BW$25)</f>
        <v>0</v>
      </c>
      <c r="BY56" s="14"/>
      <c r="BZ56" s="1597"/>
      <c r="CA56" s="227"/>
      <c r="CB56" s="662">
        <f>IF(CA25=0,0,BZ56/$CA$25)</f>
        <v>0</v>
      </c>
      <c r="CC56" s="7"/>
      <c r="CD56" s="678">
        <f>BZ56-BV56</f>
        <v>0</v>
      </c>
      <c r="CE56" s="227"/>
      <c r="CF56" s="662">
        <f>IF(CD56=0,0,CD56/BV56)</f>
        <v>0</v>
      </c>
      <c r="CH56" s="1365" t="s">
        <v>251</v>
      </c>
      <c r="CI56" s="7"/>
      <c r="CJ56" s="678">
        <f>D56+R56+AF56+AT56+BH56+BV56</f>
        <v>0</v>
      </c>
      <c r="CK56" s="227"/>
      <c r="CL56" s="672">
        <f>IF(CK25=0,0,CJ56/$CK$25)</f>
        <v>0</v>
      </c>
      <c r="CM56" s="231"/>
      <c r="CN56" s="676">
        <f>H56+V56+AJ56+AX56+BL56+BZ56</f>
        <v>0</v>
      </c>
      <c r="CO56" s="227"/>
      <c r="CP56" s="672">
        <f>IF(CO25=0,0,CN56/$CO$25)</f>
        <v>0</v>
      </c>
      <c r="CQ56" s="231"/>
      <c r="CR56" s="723">
        <f>CN56-CJ56</f>
        <v>0</v>
      </c>
      <c r="CS56" s="310"/>
      <c r="CT56" s="662">
        <f>IF(CR56=0,0,CR56/CJ56)</f>
        <v>0</v>
      </c>
      <c r="EN56" s="329"/>
      <c r="EP56" s="322"/>
      <c r="EQ56" s="208"/>
      <c r="ER56" s="297"/>
    </row>
    <row r="57" spans="2:150" ht="13.5" thickBot="1" x14ac:dyDescent="0.25">
      <c r="B57" s="318" t="s">
        <v>252</v>
      </c>
      <c r="C57" s="18"/>
      <c r="D57" s="10"/>
      <c r="E57" s="811">
        <f>SUM(D53:D56)</f>
        <v>0</v>
      </c>
      <c r="F57" s="812">
        <f>IF(E25=0,0,E57/$E$25)</f>
        <v>0</v>
      </c>
      <c r="G57" s="158"/>
      <c r="H57" s="6"/>
      <c r="I57" s="811">
        <f>SUM(H53:H56)</f>
        <v>0</v>
      </c>
      <c r="J57" s="812">
        <f>IF(I25=0,0,I57/$I$25)</f>
        <v>0</v>
      </c>
      <c r="K57" s="158"/>
      <c r="L57" s="6"/>
      <c r="M57" s="811">
        <f>I57-E57</f>
        <v>0</v>
      </c>
      <c r="N57" s="812">
        <f>IF(M57=0,0,M57/E57)</f>
        <v>0</v>
      </c>
      <c r="P57" s="318" t="s">
        <v>252</v>
      </c>
      <c r="Q57" s="18"/>
      <c r="R57" s="10"/>
      <c r="S57" s="811">
        <f>SUM(R53:R56)</f>
        <v>0</v>
      </c>
      <c r="T57" s="812">
        <f>IF(S25=0,0,S57/$S$25)</f>
        <v>0</v>
      </c>
      <c r="U57" s="158"/>
      <c r="V57" s="6"/>
      <c r="W57" s="811">
        <f>SUM(V53:V56)</f>
        <v>0</v>
      </c>
      <c r="X57" s="812">
        <f>IF(W25=0,0,W57/$W$25)</f>
        <v>0</v>
      </c>
      <c r="Y57" s="158"/>
      <c r="Z57" s="6"/>
      <c r="AA57" s="811">
        <f>W57-S57</f>
        <v>0</v>
      </c>
      <c r="AB57" s="812">
        <f>IF(AA57=0,0,AA57/S57)</f>
        <v>0</v>
      </c>
      <c r="AD57" s="318" t="s">
        <v>252</v>
      </c>
      <c r="AE57" s="18"/>
      <c r="AF57" s="10"/>
      <c r="AG57" s="811">
        <f>SUM(AF53:AF56)</f>
        <v>0</v>
      </c>
      <c r="AH57" s="812">
        <f>IF(AG25=0,0,AG57/$AG$25)</f>
        <v>0</v>
      </c>
      <c r="AI57" s="158"/>
      <c r="AJ57" s="6"/>
      <c r="AK57" s="811">
        <f>SUM(AJ53:AJ56)</f>
        <v>0</v>
      </c>
      <c r="AL57" s="812">
        <f>IF(AK25=0,0,AK57/$AK$25)</f>
        <v>0</v>
      </c>
      <c r="AM57" s="158"/>
      <c r="AN57" s="6"/>
      <c r="AO57" s="811">
        <f>AK57-AG57</f>
        <v>0</v>
      </c>
      <c r="AP57" s="812">
        <f>IF(AO57=0,0,AO57/AG57)</f>
        <v>0</v>
      </c>
      <c r="AR57" s="318" t="s">
        <v>252</v>
      </c>
      <c r="AS57" s="18"/>
      <c r="AT57" s="10"/>
      <c r="AU57" s="811">
        <f>SUM(AT53:AT56)</f>
        <v>0</v>
      </c>
      <c r="AV57" s="812">
        <f>IF(AU25=0,0,AU57/$AU$25)</f>
        <v>0</v>
      </c>
      <c r="AW57" s="158"/>
      <c r="AX57" s="6"/>
      <c r="AY57" s="811">
        <f>SUM(AX53:AX56)</f>
        <v>0</v>
      </c>
      <c r="AZ57" s="812">
        <f>IF(AY25=0,0,AY57/$AY$25)</f>
        <v>0</v>
      </c>
      <c r="BA57" s="158"/>
      <c r="BB57" s="6"/>
      <c r="BC57" s="811">
        <f>AY57-AU57</f>
        <v>0</v>
      </c>
      <c r="BD57" s="812">
        <f>IF(BC57=0,0,BC57/AU57)</f>
        <v>0</v>
      </c>
      <c r="BE57" s="314"/>
      <c r="BF57" s="318" t="s">
        <v>252</v>
      </c>
      <c r="BG57" s="18"/>
      <c r="BH57" s="10"/>
      <c r="BI57" s="811">
        <f>SUM(BH53:BH56)</f>
        <v>0</v>
      </c>
      <c r="BJ57" s="812">
        <f>IF(BI25=0,0,BI57/$BI$25)</f>
        <v>0</v>
      </c>
      <c r="BK57" s="158"/>
      <c r="BL57" s="6"/>
      <c r="BM57" s="811">
        <f>SUM(BL53:BL56)</f>
        <v>0</v>
      </c>
      <c r="BN57" s="812">
        <f>IF(BM25=0,0,BM57/$BM$25)</f>
        <v>0</v>
      </c>
      <c r="BO57" s="158"/>
      <c r="BP57" s="6"/>
      <c r="BQ57" s="811">
        <f>BM57-BI57</f>
        <v>0</v>
      </c>
      <c r="BR57" s="812">
        <f>IF(BQ57=0,0,BQ57/BI57)</f>
        <v>0</v>
      </c>
      <c r="BS57" s="297"/>
      <c r="BT57" s="318" t="s">
        <v>252</v>
      </c>
      <c r="BU57" s="18"/>
      <c r="BV57" s="10"/>
      <c r="BW57" s="811">
        <f>SUM(BV53:BV56)</f>
        <v>0</v>
      </c>
      <c r="BX57" s="812">
        <f>IF(BW25=0,0,BW57/$BW$25)</f>
        <v>0</v>
      </c>
      <c r="BY57" s="158"/>
      <c r="BZ57" s="6"/>
      <c r="CA57" s="811">
        <f>SUM(BZ53:BZ56)</f>
        <v>0</v>
      </c>
      <c r="CB57" s="812">
        <f>IF(CA25=0,0,CA57/$CA$25)</f>
        <v>0</v>
      </c>
      <c r="CC57" s="158"/>
      <c r="CD57" s="6"/>
      <c r="CE57" s="811">
        <f>CA57-BW57</f>
        <v>0</v>
      </c>
      <c r="CF57" s="812">
        <f>IF(CE57=0,0,CE57/BW57)</f>
        <v>0</v>
      </c>
      <c r="CH57" s="318" t="s">
        <v>252</v>
      </c>
      <c r="CI57" s="18"/>
      <c r="CJ57" s="409"/>
      <c r="CK57" s="1198">
        <f>SUM(CJ53:CJ56)</f>
        <v>0</v>
      </c>
      <c r="CL57" s="668">
        <f>IF(CK25=0,0,CK57/$CK$25)</f>
        <v>0</v>
      </c>
      <c r="CM57" s="412"/>
      <c r="CN57" s="730"/>
      <c r="CO57" s="653">
        <f>SUM(CN53:CN56)</f>
        <v>0</v>
      </c>
      <c r="CP57" s="668">
        <f>IF(CO25=0,0,CO57/$CO$25)</f>
        <v>0</v>
      </c>
      <c r="CQ57" s="412"/>
      <c r="CR57" s="730"/>
      <c r="CS57" s="653">
        <f>CO57-CK57</f>
        <v>0</v>
      </c>
      <c r="CT57" s="675">
        <f>IF(CS57=0,0,CS57/CK57)</f>
        <v>0</v>
      </c>
      <c r="EN57" s="329"/>
      <c r="EP57" s="322"/>
      <c r="EQ57" s="208"/>
      <c r="ER57" s="297"/>
    </row>
    <row r="58" spans="2:150" ht="13.5" thickBot="1" x14ac:dyDescent="0.25">
      <c r="B58" s="318" t="s">
        <v>563</v>
      </c>
      <c r="C58" s="18"/>
      <c r="D58" s="10"/>
      <c r="E58" s="813">
        <f>E50-E57</f>
        <v>0</v>
      </c>
      <c r="F58" s="814">
        <f>IF(E25=0,0,E58/$E$25)</f>
        <v>0</v>
      </c>
      <c r="G58" s="7"/>
      <c r="H58" s="17"/>
      <c r="I58" s="813">
        <f>I50-I57</f>
        <v>0</v>
      </c>
      <c r="J58" s="814">
        <f>IF(I25=0,0,I58/$I$25)</f>
        <v>0</v>
      </c>
      <c r="K58" s="7"/>
      <c r="L58" s="17"/>
      <c r="M58" s="813">
        <f>I58-E58</f>
        <v>0</v>
      </c>
      <c r="N58" s="814">
        <f>IF(M58=0,0,M58/ABS(E58))</f>
        <v>0</v>
      </c>
      <c r="P58" s="318" t="s">
        <v>563</v>
      </c>
      <c r="Q58" s="18"/>
      <c r="R58" s="10"/>
      <c r="S58" s="813">
        <f>S50-S57</f>
        <v>0</v>
      </c>
      <c r="T58" s="814">
        <f>IF(S25=0,0,S58/$S$25)</f>
        <v>0</v>
      </c>
      <c r="U58" s="7"/>
      <c r="V58" s="17"/>
      <c r="W58" s="813">
        <f>W50-W57</f>
        <v>0</v>
      </c>
      <c r="X58" s="814">
        <f>IF(W25=0,0,W58/$W$25)</f>
        <v>0</v>
      </c>
      <c r="Y58" s="7"/>
      <c r="Z58" s="17"/>
      <c r="AA58" s="813">
        <f>W58-S58</f>
        <v>0</v>
      </c>
      <c r="AB58" s="814">
        <f>IF(AA58=0,0,AA58/ABS(S58))</f>
        <v>0</v>
      </c>
      <c r="AD58" s="318" t="s">
        <v>563</v>
      </c>
      <c r="AE58" s="18"/>
      <c r="AF58" s="10"/>
      <c r="AG58" s="813">
        <f>AG50-AG57</f>
        <v>0</v>
      </c>
      <c r="AH58" s="814">
        <f>IF(AG25=0,0,AG58/$AG$25)</f>
        <v>0</v>
      </c>
      <c r="AI58" s="7"/>
      <c r="AJ58" s="17"/>
      <c r="AK58" s="813">
        <f>AK50-AK57</f>
        <v>0</v>
      </c>
      <c r="AL58" s="814">
        <f>IF(AK25=0,0,AK58/$AK$25)</f>
        <v>0</v>
      </c>
      <c r="AM58" s="7"/>
      <c r="AN58" s="17"/>
      <c r="AO58" s="813">
        <f>AK58-AG58</f>
        <v>0</v>
      </c>
      <c r="AP58" s="814">
        <f>IF(AO58=0,0,AO58/ABS(AG58))</f>
        <v>0</v>
      </c>
      <c r="AR58" s="318" t="s">
        <v>563</v>
      </c>
      <c r="AS58" s="18"/>
      <c r="AT58" s="10"/>
      <c r="AU58" s="813">
        <f>AU50-AU57</f>
        <v>0</v>
      </c>
      <c r="AV58" s="814">
        <f>IF(AU25=0,0,AU58/$AU$25)</f>
        <v>0</v>
      </c>
      <c r="AW58" s="7"/>
      <c r="AX58" s="17"/>
      <c r="AY58" s="813">
        <f>AY50-AY57</f>
        <v>0</v>
      </c>
      <c r="AZ58" s="814">
        <f>IF(AY25=0,0,AY58/$AY$25)</f>
        <v>0</v>
      </c>
      <c r="BA58" s="7"/>
      <c r="BB58" s="17"/>
      <c r="BC58" s="813">
        <f>AY58-AU58</f>
        <v>0</v>
      </c>
      <c r="BD58" s="814">
        <f>IF(BC58=0,0,BC58/ABS(AU58))</f>
        <v>0</v>
      </c>
      <c r="BE58" s="314"/>
      <c r="BF58" s="318" t="s">
        <v>563</v>
      </c>
      <c r="BG58" s="18"/>
      <c r="BH58" s="10"/>
      <c r="BI58" s="813">
        <f>BI50-BI57</f>
        <v>0</v>
      </c>
      <c r="BJ58" s="814">
        <f>IF(BI25=0,0,BI58/$BI$25)</f>
        <v>0</v>
      </c>
      <c r="BK58" s="7"/>
      <c r="BL58" s="17"/>
      <c r="BM58" s="813">
        <f>BM50-BM57</f>
        <v>0</v>
      </c>
      <c r="BN58" s="814">
        <f>IF(BM25=0,0,BM58/$BM$25)</f>
        <v>0</v>
      </c>
      <c r="BO58" s="7"/>
      <c r="BP58" s="17"/>
      <c r="BQ58" s="813">
        <f>BM58-BI58</f>
        <v>0</v>
      </c>
      <c r="BR58" s="814">
        <f>IF(BQ58=0,0,BQ58/ABS(BI58))</f>
        <v>0</v>
      </c>
      <c r="BS58" s="297"/>
      <c r="BT58" s="318" t="s">
        <v>563</v>
      </c>
      <c r="BU58" s="18"/>
      <c r="BV58" s="10"/>
      <c r="BW58" s="813">
        <f>BW50-BW57</f>
        <v>0</v>
      </c>
      <c r="BX58" s="814">
        <f>IF(BW25=0,0,BW58/$BW$25)</f>
        <v>0</v>
      </c>
      <c r="BY58" s="7"/>
      <c r="BZ58" s="17"/>
      <c r="CA58" s="813">
        <f>CA50-CA57</f>
        <v>0</v>
      </c>
      <c r="CB58" s="814">
        <f>IF(CA25=0,0,CA58/$CA$25)</f>
        <v>0</v>
      </c>
      <c r="CC58" s="7"/>
      <c r="CD58" s="17"/>
      <c r="CE58" s="813">
        <f>CA58-BW58</f>
        <v>0</v>
      </c>
      <c r="CF58" s="814">
        <f>IF(CE58=0,0,CE58/ABS(BW58))</f>
        <v>0</v>
      </c>
      <c r="CH58" s="318" t="s">
        <v>563</v>
      </c>
      <c r="CI58" s="18"/>
      <c r="CJ58" s="409"/>
      <c r="CK58" s="1198">
        <f>CK50-CK57</f>
        <v>0</v>
      </c>
      <c r="CL58" s="668">
        <f>IF(CK25=0,0,CK58/$CK$25)</f>
        <v>0</v>
      </c>
      <c r="CM58" s="237"/>
      <c r="CN58" s="411"/>
      <c r="CO58" s="653">
        <f>CO50-CO57</f>
        <v>0</v>
      </c>
      <c r="CP58" s="668">
        <f>IF(CO25=0,0,CO58/$CO$25)</f>
        <v>0</v>
      </c>
      <c r="CQ58" s="237"/>
      <c r="CR58" s="411"/>
      <c r="CS58" s="653">
        <f>CO58-CK58</f>
        <v>0</v>
      </c>
      <c r="CT58" s="675">
        <f>IF(CS58=0,0,CS58/ABS(CK58))</f>
        <v>0</v>
      </c>
      <c r="EN58" s="326"/>
      <c r="EQ58" s="87"/>
      <c r="ER58" s="297"/>
    </row>
    <row r="59" spans="2:150" ht="7.5" customHeight="1" x14ac:dyDescent="0.2">
      <c r="EN59" s="326"/>
      <c r="EO59" s="216"/>
      <c r="EP59" s="330"/>
      <c r="EQ59" s="331"/>
      <c r="ER59" s="297"/>
    </row>
    <row r="60" spans="2:150" ht="9.75" customHeight="1" thickBot="1" x14ac:dyDescent="0.25">
      <c r="EN60" s="319"/>
      <c r="EO60" s="218"/>
      <c r="EP60" s="217"/>
      <c r="EQ60" s="218"/>
      <c r="ER60" s="297"/>
    </row>
    <row r="61" spans="2:150" ht="18.75" thickBot="1" x14ac:dyDescent="0.3">
      <c r="AD61" s="8"/>
      <c r="AE61" s="1654" t="s">
        <v>279</v>
      </c>
      <c r="AF61" s="1655"/>
      <c r="AG61" s="1655"/>
      <c r="AH61" s="1656"/>
      <c r="AI61" s="1654" t="s">
        <v>278</v>
      </c>
      <c r="AJ61" s="1655"/>
      <c r="AK61" s="1655"/>
      <c r="AL61" s="334"/>
      <c r="AM61" s="1654" t="s">
        <v>280</v>
      </c>
      <c r="AN61" s="1655" t="s">
        <v>1</v>
      </c>
      <c r="AO61" s="1655"/>
      <c r="AP61" s="1656"/>
      <c r="AR61" s="8"/>
      <c r="AS61" s="1654" t="s">
        <v>279</v>
      </c>
      <c r="AT61" s="1655"/>
      <c r="AU61" s="1655"/>
      <c r="AV61" s="1656"/>
      <c r="AW61" s="1654" t="s">
        <v>278</v>
      </c>
      <c r="AX61" s="1655"/>
      <c r="AY61" s="1655"/>
      <c r="AZ61" s="334"/>
      <c r="BA61" s="1654" t="s">
        <v>280</v>
      </c>
      <c r="BB61" s="1655" t="s">
        <v>1</v>
      </c>
      <c r="BC61" s="1655"/>
      <c r="BD61" s="1656"/>
      <c r="BF61" s="8"/>
      <c r="BG61" s="1654" t="s">
        <v>279</v>
      </c>
      <c r="BH61" s="1655"/>
      <c r="BI61" s="1655"/>
      <c r="BJ61" s="1656"/>
      <c r="BK61" s="1654" t="s">
        <v>278</v>
      </c>
      <c r="BL61" s="1655"/>
      <c r="BM61" s="1655"/>
      <c r="BN61" s="334"/>
      <c r="BO61" s="1654" t="s">
        <v>280</v>
      </c>
      <c r="BP61" s="1655" t="s">
        <v>1</v>
      </c>
      <c r="BQ61" s="1655"/>
      <c r="BR61" s="1656"/>
      <c r="BT61" s="8"/>
      <c r="BU61" s="8" t="s">
        <v>279</v>
      </c>
      <c r="BV61" s="18"/>
      <c r="BW61" s="18"/>
      <c r="BX61" s="222"/>
      <c r="BY61" s="8" t="s">
        <v>278</v>
      </c>
      <c r="BZ61" s="18"/>
      <c r="CA61" s="18"/>
      <c r="CB61" s="334"/>
      <c r="CC61" s="1654" t="s">
        <v>280</v>
      </c>
      <c r="CD61" s="1655"/>
      <c r="CE61" s="1655"/>
      <c r="CF61" s="1656"/>
      <c r="EB61" s="705"/>
      <c r="EC61" s="705"/>
      <c r="ED61" s="1665" t="str">
        <f xml:space="preserve">       CY6</f>
        <v>Yritys</v>
      </c>
      <c r="EE61" s="1665"/>
      <c r="EF61" s="1661" t="str">
        <f xml:space="preserve">  DC6</f>
        <v>Verkko1</v>
      </c>
      <c r="EG61" s="1661"/>
      <c r="EH61" s="1667" t="str">
        <f>DG6</f>
        <v>Verkko2</v>
      </c>
      <c r="EI61" s="1667"/>
      <c r="EJ61" s="1667"/>
      <c r="EK61" s="1659" t="str">
        <f>DK6</f>
        <v>Isorysä1</v>
      </c>
      <c r="EL61" s="1659"/>
      <c r="EM61" s="1132" t="str">
        <f>DO6</f>
        <v>Isorysä2</v>
      </c>
      <c r="EN61" s="705"/>
      <c r="EO61" s="1173" t="str">
        <f>DS6</f>
        <v>PU-rysä1</v>
      </c>
      <c r="EP61" s="1132"/>
      <c r="EQ61" s="1659" t="str">
        <f>DW6</f>
        <v>PU-rysä2</v>
      </c>
      <c r="ER61" s="1659"/>
      <c r="ES61" s="1659"/>
      <c r="ET61" s="707"/>
    </row>
    <row r="62" spans="2:150" ht="18.75" thickBot="1" x14ac:dyDescent="0.3">
      <c r="AD62" s="8" t="s">
        <v>282</v>
      </c>
      <c r="AE62" s="455">
        <f>'8 Taloudellinen tulos'!J23</f>
        <v>0</v>
      </c>
      <c r="AF62" s="18"/>
      <c r="AG62" s="18"/>
      <c r="AH62" s="18"/>
      <c r="AI62" s="843">
        <v>0</v>
      </c>
      <c r="AJ62" s="18"/>
      <c r="AK62" s="18"/>
      <c r="AL62" s="18"/>
      <c r="AM62" s="200"/>
      <c r="AN62" s="18"/>
      <c r="AO62" s="455">
        <f>AI62-AE62</f>
        <v>0</v>
      </c>
      <c r="AP62" s="675">
        <f>IF(AO62=0,0,AO62/AE62)</f>
        <v>0</v>
      </c>
      <c r="AR62" s="8" t="s">
        <v>282</v>
      </c>
      <c r="AS62" s="455">
        <f>'8 Taloudellinen tulos'!L23</f>
        <v>0</v>
      </c>
      <c r="AT62" s="18"/>
      <c r="AU62" s="18"/>
      <c r="AV62" s="18"/>
      <c r="AW62" s="843">
        <v>0</v>
      </c>
      <c r="AX62" s="18"/>
      <c r="AY62" s="18"/>
      <c r="AZ62" s="18"/>
      <c r="BA62" s="200"/>
      <c r="BB62" s="18"/>
      <c r="BC62" s="455">
        <f>AW62-AS62</f>
        <v>0</v>
      </c>
      <c r="BD62" s="675">
        <f>IF(BC62=0,0,BC62/AS62)</f>
        <v>0</v>
      </c>
      <c r="BF62" s="8" t="s">
        <v>282</v>
      </c>
      <c r="BG62" s="456">
        <f>'8 Taloudellinen tulos'!N23</f>
        <v>0</v>
      </c>
      <c r="BH62" s="18"/>
      <c r="BI62" s="18"/>
      <c r="BJ62" s="18"/>
      <c r="BK62" s="1443">
        <v>0</v>
      </c>
      <c r="BL62" s="18"/>
      <c r="BM62" s="18"/>
      <c r="BN62" s="18"/>
      <c r="BO62" s="200"/>
      <c r="BP62" s="18"/>
      <c r="BQ62" s="456">
        <f>BK62-BG62</f>
        <v>0</v>
      </c>
      <c r="BR62" s="675">
        <f>IF(BQ62=0,0,BQ62/BG62)</f>
        <v>0</v>
      </c>
      <c r="BT62" s="8" t="s">
        <v>282</v>
      </c>
      <c r="BU62" s="456">
        <f>'8 Taloudellinen tulos'!P23</f>
        <v>0</v>
      </c>
      <c r="BV62" s="18"/>
      <c r="BW62" s="18"/>
      <c r="BX62" s="18"/>
      <c r="BY62" s="1443">
        <v>0</v>
      </c>
      <c r="BZ62" s="18"/>
      <c r="CA62" s="18"/>
      <c r="CB62" s="18"/>
      <c r="CC62" s="200"/>
      <c r="CD62" s="18"/>
      <c r="CE62" s="456">
        <f>BY62-BU62</f>
        <v>0</v>
      </c>
      <c r="CF62" s="675">
        <f>IF(CE62=0,0,CE62/BU62)</f>
        <v>0</v>
      </c>
      <c r="EB62" s="705"/>
      <c r="EC62" s="705"/>
      <c r="ED62" s="705"/>
      <c r="EE62" s="705"/>
      <c r="EF62" s="705"/>
      <c r="EG62" s="705"/>
      <c r="EH62" s="705"/>
      <c r="EI62" s="705"/>
      <c r="EJ62" s="705"/>
      <c r="EK62" s="705"/>
      <c r="EL62" s="705"/>
      <c r="EM62" s="705"/>
      <c r="EN62" s="705"/>
      <c r="EO62" s="705"/>
      <c r="EP62" s="705"/>
      <c r="EQ62" s="705"/>
      <c r="ER62" s="705"/>
      <c r="ES62" s="705"/>
      <c r="ET62" s="707"/>
    </row>
    <row r="64" spans="2:150" ht="9.75" customHeight="1" x14ac:dyDescent="0.2">
      <c r="J64" s="319"/>
      <c r="AC64" s="216"/>
      <c r="AD64" s="216"/>
      <c r="AE64" s="216"/>
      <c r="AF64" s="216"/>
      <c r="AG64" s="216"/>
      <c r="AH64" s="216"/>
      <c r="AI64" s="216"/>
      <c r="AJ64" s="216"/>
      <c r="AK64" s="216"/>
      <c r="AL64" s="216"/>
      <c r="AM64" s="216"/>
      <c r="AN64" s="216"/>
      <c r="AO64" s="216"/>
      <c r="AP64" s="216"/>
      <c r="AQ64" s="216"/>
      <c r="AR64" s="215"/>
      <c r="BA64" s="216"/>
      <c r="BB64" s="216"/>
      <c r="BC64" s="216"/>
      <c r="BD64" s="216"/>
      <c r="BE64" s="216"/>
      <c r="BF64" s="215"/>
      <c r="BO64" s="216"/>
      <c r="BP64" s="216"/>
      <c r="BQ64" s="216"/>
      <c r="BR64" s="216"/>
      <c r="CX64"/>
      <c r="CY64"/>
      <c r="CZ64"/>
      <c r="DJ64"/>
      <c r="DK64"/>
      <c r="DL64"/>
      <c r="DR64"/>
      <c r="DS64"/>
      <c r="DT64"/>
      <c r="DV64"/>
      <c r="DW64"/>
      <c r="DX64"/>
    </row>
    <row r="65" spans="17:131" x14ac:dyDescent="0.2">
      <c r="Q65" s="217"/>
      <c r="R65" s="218"/>
      <c r="S65" s="217"/>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7"/>
      <c r="BA65" s="218"/>
      <c r="BB65" s="218"/>
      <c r="BC65" s="218"/>
      <c r="BD65" s="218"/>
      <c r="BE65" s="218"/>
      <c r="BF65" s="217"/>
      <c r="BO65" s="218"/>
      <c r="BP65" s="218"/>
      <c r="BQ65" s="218"/>
      <c r="BR65" s="218"/>
      <c r="CQ65" s="218"/>
      <c r="CR65" s="218"/>
      <c r="CS65" s="218"/>
      <c r="CT65" s="218"/>
      <c r="CX65"/>
      <c r="CY65"/>
      <c r="CZ65"/>
      <c r="DJ65"/>
      <c r="DK65"/>
      <c r="DL65"/>
      <c r="DR65"/>
      <c r="DS65"/>
      <c r="DT65"/>
      <c r="DV65"/>
      <c r="DW65"/>
      <c r="DX65"/>
    </row>
    <row r="66" spans="17:131" x14ac:dyDescent="0.2">
      <c r="Q66" s="217"/>
      <c r="R66" s="218"/>
      <c r="S66" s="217"/>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7"/>
      <c r="BA66" s="218"/>
      <c r="BB66" s="218"/>
      <c r="BC66" s="218"/>
      <c r="BD66" s="218"/>
      <c r="BE66" s="218"/>
      <c r="BF66" s="217"/>
      <c r="BO66" s="218"/>
      <c r="BP66" s="218"/>
      <c r="BQ66" s="218"/>
      <c r="BR66" s="218"/>
      <c r="CQ66" s="218"/>
      <c r="CR66" s="218"/>
      <c r="CS66" s="218"/>
      <c r="CT66" s="218"/>
    </row>
    <row r="67" spans="17:131" ht="21.75" customHeight="1" x14ac:dyDescent="0.2">
      <c r="Q67" s="215"/>
      <c r="R67" s="87"/>
      <c r="S67" s="215"/>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215"/>
      <c r="BA67" s="87"/>
      <c r="BB67" s="87"/>
      <c r="BC67" s="87"/>
      <c r="BD67" s="87"/>
      <c r="BE67" s="87"/>
      <c r="BF67" s="215"/>
      <c r="BO67" s="87"/>
      <c r="BP67" s="87"/>
      <c r="BQ67" s="87"/>
      <c r="BR67" s="87"/>
      <c r="CQ67" s="87"/>
      <c r="CR67" s="87"/>
      <c r="CS67" s="87"/>
      <c r="CT67" s="87"/>
    </row>
    <row r="73" spans="17:131" x14ac:dyDescent="0.2">
      <c r="EA73" s="319" t="s">
        <v>1</v>
      </c>
    </row>
    <row r="93" spans="102:150" ht="16.5" customHeight="1" x14ac:dyDescent="0.25">
      <c r="CX93"/>
      <c r="CY93"/>
      <c r="CZ93"/>
      <c r="DJ93"/>
      <c r="DK93"/>
      <c r="DL93"/>
      <c r="DR93"/>
      <c r="DS93"/>
      <c r="DT93"/>
      <c r="DV93"/>
      <c r="DW93"/>
      <c r="DX93"/>
      <c r="EB93" s="705"/>
      <c r="EC93" s="705"/>
      <c r="ED93" s="1661" t="str">
        <f>ED61</f>
        <v>Yritys</v>
      </c>
      <c r="EE93" s="1661"/>
      <c r="EF93" s="1661" t="str">
        <f>EF61</f>
        <v>Verkko1</v>
      </c>
      <c r="EG93" s="1661"/>
      <c r="EH93" s="1665" t="str">
        <f xml:space="preserve">   DG6</f>
        <v>Verkko2</v>
      </c>
      <c r="EI93" s="1665"/>
      <c r="EJ93" s="1666" t="str">
        <f xml:space="preserve">      EK61</f>
        <v>Isorysä1</v>
      </c>
      <c r="EK93" s="1666"/>
      <c r="EL93" s="1168"/>
      <c r="EM93" s="1169" t="str">
        <f>DO6</f>
        <v>Isorysä2</v>
      </c>
      <c r="EN93" s="706"/>
      <c r="EO93" s="1659" t="str">
        <f>EO61</f>
        <v>PU-rysä1</v>
      </c>
      <c r="EP93" s="1659"/>
      <c r="EQ93" s="1168" t="str">
        <f>DW6</f>
        <v>PU-rysä2</v>
      </c>
      <c r="ER93" s="706"/>
      <c r="ES93" s="705"/>
      <c r="ET93" s="705"/>
    </row>
    <row r="94" spans="102:150" x14ac:dyDescent="0.2">
      <c r="EB94" s="705"/>
      <c r="EC94" s="705"/>
      <c r="ED94" s="706"/>
      <c r="EE94" s="706"/>
      <c r="EF94" s="706"/>
      <c r="EG94" s="705"/>
      <c r="EH94" s="706"/>
      <c r="EI94" s="706"/>
      <c r="EJ94" s="706"/>
      <c r="EK94" s="705"/>
      <c r="EL94" s="706"/>
      <c r="EM94" s="706"/>
      <c r="EN94" s="706"/>
      <c r="EO94" s="705"/>
      <c r="EP94" s="706"/>
      <c r="EQ94" s="706"/>
      <c r="ER94" s="706"/>
      <c r="ES94" s="705"/>
      <c r="ET94" s="705"/>
    </row>
    <row r="96" spans="102:150" x14ac:dyDescent="0.2">
      <c r="CX96"/>
      <c r="CY96"/>
      <c r="CZ96"/>
      <c r="DJ96"/>
      <c r="DK96"/>
      <c r="DL96"/>
      <c r="DR96"/>
      <c r="DS96"/>
      <c r="DT96"/>
      <c r="DV96"/>
      <c r="DW96"/>
      <c r="DX96"/>
    </row>
    <row r="97" spans="102:128" x14ac:dyDescent="0.2">
      <c r="CX97"/>
      <c r="CY97"/>
      <c r="CZ97"/>
      <c r="DJ97"/>
      <c r="DK97"/>
      <c r="DL97"/>
      <c r="DR97"/>
      <c r="DS97"/>
      <c r="DT97"/>
      <c r="DV97"/>
      <c r="DW97"/>
      <c r="DX97"/>
    </row>
    <row r="98" spans="102:128" x14ac:dyDescent="0.2">
      <c r="CX98"/>
      <c r="CY98"/>
      <c r="CZ98"/>
      <c r="DJ98"/>
      <c r="DK98"/>
      <c r="DL98"/>
      <c r="DR98"/>
      <c r="DS98"/>
      <c r="DT98"/>
      <c r="DV98"/>
      <c r="DW98"/>
      <c r="DX98"/>
    </row>
  </sheetData>
  <sheetProtection password="C576" sheet="1" objects="1" scenarios="1"/>
  <mergeCells count="46">
    <mergeCell ref="C7:F7"/>
    <mergeCell ref="Q7:T7"/>
    <mergeCell ref="U7:X7"/>
    <mergeCell ref="AI61:AK61"/>
    <mergeCell ref="AM61:AP61"/>
    <mergeCell ref="Y7:AB7"/>
    <mergeCell ref="AE61:AH61"/>
    <mergeCell ref="G7:J7"/>
    <mergeCell ref="K7:N7"/>
    <mergeCell ref="AE7:AH7"/>
    <mergeCell ref="AI7:AL7"/>
    <mergeCell ref="AM7:AP7"/>
    <mergeCell ref="BG7:BJ7"/>
    <mergeCell ref="BA7:BD7"/>
    <mergeCell ref="AS7:AV7"/>
    <mergeCell ref="AW7:AZ7"/>
    <mergeCell ref="BK7:BN7"/>
    <mergeCell ref="AS61:AV61"/>
    <mergeCell ref="AW61:AY61"/>
    <mergeCell ref="BK61:BM61"/>
    <mergeCell ref="BA61:BD61"/>
    <mergeCell ref="BG61:BJ61"/>
    <mergeCell ref="EQ29:ER29"/>
    <mergeCell ref="EI29:EJ29"/>
    <mergeCell ref="ED61:EE61"/>
    <mergeCell ref="EF61:EG61"/>
    <mergeCell ref="EQ61:ES61"/>
    <mergeCell ref="EK61:EL61"/>
    <mergeCell ref="EO29:EP29"/>
    <mergeCell ref="CI6:CT6"/>
    <mergeCell ref="BO61:BR61"/>
    <mergeCell ref="EH93:EI93"/>
    <mergeCell ref="EJ93:EK93"/>
    <mergeCell ref="EH61:EJ61"/>
    <mergeCell ref="BO7:BR7"/>
    <mergeCell ref="EO93:EP93"/>
    <mergeCell ref="EG29:EH29"/>
    <mergeCell ref="ED93:EE93"/>
    <mergeCell ref="EF93:EG93"/>
    <mergeCell ref="BU7:BX7"/>
    <mergeCell ref="BY7:CB7"/>
    <mergeCell ref="CM7:CP7"/>
    <mergeCell ref="CQ7:CT7"/>
    <mergeCell ref="CI7:CL7"/>
    <mergeCell ref="CC7:CF7"/>
    <mergeCell ref="CC61:CF61"/>
  </mergeCells>
  <phoneticPr fontId="16" type="noConversion"/>
  <pageMargins left="0.74803149606299213" right="0.74803149606299213" top="0.98425196850393704" bottom="0.98425196850393704" header="0.51181102362204722" footer="0.51181102362204722"/>
  <pageSetup paperSize="9" scale="51" orientation="portrait" r:id="rId1"/>
  <headerFooter alignWithMargins="0"/>
  <colBreaks count="1" manualBreakCount="1">
    <brk id="14" max="1048575" man="1"/>
  </colBreaks>
  <ignoredErrors>
    <ignoredError sqref="CN12:CN23 H23 V23 BZ23 BL23 CN11 BD35 BR35 CF35 AP35 AX23 CT35 DA30 DE30 DI30:DI32 DQ30 DU30 DM30 AJ23" formula="1"/>
    <ignoredError sqref="N24 CT12 DA9 DU9" evalError="1"/>
  </ignoredErrors>
  <drawing r:id="rId2"/>
  <legacyDrawing r:id="rId3"/>
  <picture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AB53"/>
  <sheetViews>
    <sheetView showGridLines="0" zoomScaleNormal="100" workbookViewId="0">
      <selection activeCell="G20" sqref="G20"/>
    </sheetView>
  </sheetViews>
  <sheetFormatPr defaultRowHeight="12.75" x14ac:dyDescent="0.2"/>
  <cols>
    <col min="2" max="2" width="36.7109375" customWidth="1"/>
    <col min="3" max="3" width="10.5703125" customWidth="1"/>
    <col min="4" max="4" width="9.85546875" customWidth="1"/>
    <col min="5" max="5" width="10.7109375" customWidth="1"/>
    <col min="6" max="6" width="3" customWidth="1"/>
    <col min="7" max="7" width="42.28515625" customWidth="1"/>
    <col min="8" max="11" width="12.5703125" customWidth="1"/>
    <col min="12" max="12" width="13.140625" customWidth="1"/>
    <col min="13" max="13" width="13.28515625" customWidth="1"/>
    <col min="14" max="21" width="12.5703125" customWidth="1"/>
    <col min="22" max="22" width="7.140625" customWidth="1"/>
    <col min="23" max="28" width="4.85546875" customWidth="1"/>
  </cols>
  <sheetData>
    <row r="2" spans="2:28" ht="13.5" thickBot="1" x14ac:dyDescent="0.25"/>
    <row r="3" spans="2:28" ht="24" thickBot="1" x14ac:dyDescent="0.4">
      <c r="B3" s="32" t="s">
        <v>376</v>
      </c>
      <c r="G3" s="355"/>
    </row>
    <row r="4" spans="2:28" x14ac:dyDescent="0.2">
      <c r="G4" s="355"/>
    </row>
    <row r="5" spans="2:28" ht="13.5" thickBot="1" x14ac:dyDescent="0.25"/>
    <row r="6" spans="2:28" ht="12.75" customHeight="1" x14ac:dyDescent="0.2">
      <c r="B6" s="94" t="s">
        <v>289</v>
      </c>
      <c r="C6" s="333"/>
      <c r="D6" s="342"/>
      <c r="E6" s="338" t="s">
        <v>286</v>
      </c>
      <c r="G6" s="123" t="s">
        <v>320</v>
      </c>
      <c r="H6" s="333" t="s">
        <v>284</v>
      </c>
      <c r="I6" s="342" t="s">
        <v>284</v>
      </c>
      <c r="J6" s="176" t="s">
        <v>285</v>
      </c>
      <c r="K6" s="342" t="s">
        <v>323</v>
      </c>
      <c r="L6" s="1672" t="s">
        <v>538</v>
      </c>
      <c r="M6" s="342" t="s">
        <v>107</v>
      </c>
    </row>
    <row r="7" spans="2:28" ht="13.5" thickBot="1" x14ac:dyDescent="0.25">
      <c r="B7" s="335"/>
      <c r="C7" s="187" t="s">
        <v>284</v>
      </c>
      <c r="D7" s="122" t="s">
        <v>285</v>
      </c>
      <c r="E7" s="339" t="s">
        <v>288</v>
      </c>
      <c r="G7" s="336"/>
      <c r="H7" s="187" t="s">
        <v>166</v>
      </c>
      <c r="I7" s="122" t="s">
        <v>321</v>
      </c>
      <c r="J7" s="340" t="s">
        <v>322</v>
      </c>
      <c r="K7" s="122" t="s">
        <v>321</v>
      </c>
      <c r="L7" s="1673"/>
      <c r="M7" s="345" t="s">
        <v>1</v>
      </c>
    </row>
    <row r="8" spans="2:28" ht="13.5" thickBot="1" x14ac:dyDescent="0.25">
      <c r="B8" s="711" t="s">
        <v>438</v>
      </c>
      <c r="C8" s="1599">
        <v>50.36</v>
      </c>
      <c r="D8" s="1600">
        <v>30.7</v>
      </c>
      <c r="E8" s="1601">
        <v>9.3000000000000007</v>
      </c>
      <c r="G8" s="38" t="s">
        <v>319</v>
      </c>
      <c r="H8" s="494">
        <f>((IF('2.1 Verkkopyynti'!G25=1,1,0)*'2.1 Verkkopyynti'!E27)/(C17/100))+((IF('2.1 Verkkopyynti'!N25=1,1,0)*'2.1 Verkkopyynti'!L27)/(C17/100))+((IF('2.1 Verkkopyynti'!U25=1,1,0)*'2.1 Verkkopyynti'!S27)/(C17/100))+((IF('2.1 Verkkopyynti'!AB25=1,1,0)*'2.1 Verkkopyynti'!Z27)/(C17/100))+((IF('2.1 Verkkopyynti'!G25=1,1,0)*'2.1 Verkkopyynti'!E57)/(C17/100))+((IF('2.1 Verkkopyynti'!N25=1,1,0)*'2.1 Verkkopyynti'!L57)/(C17/100))+((IF('2.1 Verkkopyynti'!U25=1,1,0)*'2.1 Verkkopyynti'!S57)/(C17/100))+((IF('2.1 Verkkopyynti'!AB25=1,1,0)*'2.1 Verkkopyynti'!Z57)/(C17/100))+((IF('2.2 Rysäpyynti'!G20=1,1,0)*'2.2 Rysäpyynti'!E22)/(C17/100))+((IF('2.2 Rysäpyynti'!G20=1,1,0)*'2.2 Rysäpyynti'!E44)/(C17/100))+((IF('2.2 Rysäpyynti'!G20=1,1,0)*'2.2 Rysäpyynti'!E74)/(C17/100))+((IF('2.2 Rysäpyynti'!G20=1,1,0)*'2.2 Rysäpyynti'!E100)/(C17/100))+((IF('2.2 Rysäpyynti'!N40=1,1,0)*'2.2 Rysäpyynti'!L42)/(C17/100))+((IF('2.2 Rysäpyynti'!N40=1,1,0)*'2.2 Rysäpyynti'!L72)/(C17/100))+((IF('2.2 Rysäpyynti'!U40=1,1,0)*'2.2 Rysäpyynti'!S42)/(C17/100))+((IF('2.2 Rysäpyynti'!U40=1,1,0)*'2.2 Rysäpyynti'!S72)/(C17/100))+(((IF('2.2 Rysäpyynti'!N40=1,1,0)*(('2.2 Rysäpyynti'!L34*('2.2 Rysäpyynti'!L39/100)*'2.2 Rysäpyynti'!L40*'2.2 Rysäpyynti'!N19)/(C17/100)))))+(((IF('2.2 Rysäpyynti'!U40=1,1,0)*(('2.2 Rysäpyynti'!S34*('2.2 Rysäpyynti'!S39/100)*'2.2 Rysäpyynti'!S40*'2.2 Rysäpyynti'!U19)/(C17/100)))))+(((IF('2.2 Rysäpyynti'!N40=1,1,0)*(('2.2 Rysäpyynti'!L34*('2.2 Rysäpyynti'!L39/100)*'2.2 Rysäpyynti'!L40*'2.2 Rysäpyynti'!N26)/(C17/100)))))+(((IF('2.2 Rysäpyynti'!U40=1,1,0)*(('2.2 Rysäpyynti'!S34*('2.2 Rysäpyynti'!S39/100)*'2.2 Rysäpyynti'!S40*'2.2 Rysäpyynti'!U26)/(C17/100)))))+X16</f>
        <v>0</v>
      </c>
      <c r="I8" s="494">
        <f>((IF('2.1 Verkkopyynti'!G34=1,1,0)*'2.1 Verkkopyynti'!E35)/(C18/100))+((IF('2.1 Verkkopyynti'!N34=1,1,0)*'2.1 Verkkopyynti'!L35)/(C18/100))+((IF('2.1 Verkkopyynti'!U34=1,1,0)*'2.1 Verkkopyynti'!S35)/(C18/100))+((IF('2.1 Verkkopyynti'!AB34=1,1,0)*'2.1 Verkkopyynti'!Z35)/(C18/100))+((IF('2.2 Rysäpyynti'!G31=1,1,0)*'2.2 Rysäpyynti'!E32)/(C18/100))+((IF('2.2 Rysäpyynti'!G31=1,1,0)*'2.2 Rysäpyynti'!E52)/(C18/100))+((IF('2.2 Rysäpyynti'!G81=1,1,0)*'2.2 Rysäpyynti'!E82)/(C18/100))+((IF('2.2 Rysäpyynti'!N49=1,1,0)*'2.2 Rysäpyynti'!L50)/(C18/100))+((IF('2.2 Rysäpyynti'!U49=1,1,0)*'2.2 Rysäpyynti'!S50)/(C18/100))+(((IF('2.2 Rysäpyynti'!N49=1,1,0)*(((IF('2.2 Rysäpyynti'!L46=0,0,'2.2 Rysäpyynti'!L50/'2.2 Rysäpyynti'!L46))*'2.2 Rysäpyynti'!N19)/(C18/100)))))+(((IF('2.2 Rysäpyynti'!U49=1,1,0)*(((IF('2.2 Rysäpyynti'!S46=0,0,'2.2 Rysäpyynti'!S50/'2.2 Rysäpyynti'!S46))*'2.2 Rysäpyynti'!U19)/(C18/100)))))+(((IF('2.2 Rysäpyynti'!N49=1,1,0)*(((IF('2.2 Rysäpyynti'!L46=0,0,'2.2 Rysäpyynti'!L50/'2.2 Rysäpyynti'!L46))*'2.2 Rysäpyynti'!N26)/(C18/100)))))+(((IF('2.2 Rysäpyynti'!U49=1,1,0)*(((IF('2.2 Rysäpyynti'!S46=0,0,'2.2 Rysäpyynti'!S50/'2.2 Rysäpyynti'!S46))*'2.2 Rysäpyynti'!U26)/(C18/100)))))+AA16</f>
        <v>0</v>
      </c>
      <c r="J8" s="494">
        <f>((IF('2.1 Verkkopyynti'!G25=2,1,0)*'2.1 Verkkopyynti'!E27)/(D17/100))+((IF('2.1 Verkkopyynti'!N25=2,1,0)*'2.1 Verkkopyynti'!L27)/(D17/100))+((IF('2.1 Verkkopyynti'!U25=2,1,0)*'2.1 Verkkopyynti'!S27)/(D17/100))+((IF('2.1 Verkkopyynti'!AB25=2,1,0)*'2.1 Verkkopyynti'!Z27)/(D17/100))+((IF('2.1 Verkkopyynti'!G25=2,1,0)*'2.1 Verkkopyynti'!E57)/(D17/100))+((IF('2.1 Verkkopyynti'!N25=2,1,0)*'2.1 Verkkopyynti'!L57)/(D17/100))+((IF('2.1 Verkkopyynti'!U25=2,1,0)*'2.1 Verkkopyynti'!S57)/(D17/100))+((IF('2.1 Verkkopyynti'!AB25=2,1,0)*'2.1 Verkkopyynti'!Z57)/(D17/100))+((IF('2.2 Rysäpyynti'!G20=2,1,0)*'2.2 Rysäpyynti'!E22)/(D17/100))+((IF('2.2 Rysäpyynti'!G20=2,1,0)*'2.2 Rysäpyynti'!E44)/(D17/100))+((IF('2.2 Rysäpyynti'!G20=2,1,0)*'2.2 Rysäpyynti'!E74)/(D17/100))+((IF('2.2 Rysäpyynti'!G20=2,1,0)*'2.2 Rysäpyynti'!E100)/(D17/100))+((IF('2.2 Rysäpyynti'!N40=2,1,0)*'2.2 Rysäpyynti'!L42)/(D17/100))+((IF('2.2 Rysäpyynti'!N40=2,1,0)*'2.2 Rysäpyynti'!L72)/(D17/100))+((IF('2.2 Rysäpyynti'!U40=2,1,0)*'2.2 Rysäpyynti'!S42)/(D17/100))+((IF('2.2 Rysäpyynti'!U40=2,1,0)*'2.2 Rysäpyynti'!S72)/(D17/100))+(((IF('2.2 Rysäpyynti'!N40=2,1,0)*(('2.2 Rysäpyynti'!L34*('2.2 Rysäpyynti'!L39/100)*'2.2 Rysäpyynti'!L40*'2.2 Rysäpyynti'!N19)/(D17/100)))))+(((IF('2.2 Rysäpyynti'!U40=2,1,0)*(('2.2 Rysäpyynti'!S34*('2.2 Rysäpyynti'!S39/100)*'2.2 Rysäpyynti'!S40*'2.2 Rysäpyynti'!U19)/(D17/100)))))+(((IF('2.2 Rysäpyynti'!N40=2,1,0)*(('2.2 Rysäpyynti'!L34*('2.2 Rysäpyynti'!L39/100)*'2.2 Rysäpyynti'!L40*'2.2 Rysäpyynti'!N26)/(D17/100)))))+(((IF('2.2 Rysäpyynti'!U40=2,1,0)*(('2.2 Rysäpyynti'!S34*('2.2 Rysäpyynti'!S39/100)*'2.2 Rysäpyynti'!S40*'2.2 Rysäpyynti'!U26)/(D17/100)))))+Y16</f>
        <v>0</v>
      </c>
      <c r="K8" s="494">
        <f>((IF('2.1 Verkkopyynti'!G34=2,1,0)*'2.1 Verkkopyynti'!E35)/(E18/100))+((IF('2.1 Verkkopyynti'!N34=2,1,0)*'2.1 Verkkopyynti'!L35)/(E18/100))+((IF('2.1 Verkkopyynti'!U34=2,1,0)*'2.1 Verkkopyynti'!S35)/(E18/100))+((IF('2.1 Verkkopyynti'!AB34=2,1,0)*'2.1 Verkkopyynti'!Z35)/(E18/100))+((IF('2.2 Rysäpyynti'!G31=2,1,0)*'2.2 Rysäpyynti'!E32)/(E18/100))+((IF('2.2 Rysäpyynti'!G31=2,1,0)*'2.2 Rysäpyynti'!E52)/(E18/100))+((IF('2.2 Rysäpyynti'!G81=2,1,0)*'2.2 Rysäpyynti'!E82)/(E18/100))+((IF('2.2 Rysäpyynti'!N49=2,1,0)*'2.2 Rysäpyynti'!L50)/(E18/100))+((IF('2.2 Rysäpyynti'!U49=2,1,0)*'2.2 Rysäpyynti'!S50)/(E18/100))+(((IF('2.2 Rysäpyynti'!N49=2,1,0)*(((IF('2.2 Rysäpyynti'!L46=0,0,'2.2 Rysäpyynti'!L50/'2.2 Rysäpyynti'!L46))*'2.2 Rysäpyynti'!N19)/(E18/100)))))+(((IF('2.2 Rysäpyynti'!U49=2,1,0)*(((IF('2.2 Rysäpyynti'!S46=0,0,'2.2 Rysäpyynti'!S50/'2.2 Rysäpyynti'!S46))*'2.2 Rysäpyynti'!U19)/(E18/100)))))+(((IF('2.2 Rysäpyynti'!N49=2,1,0)*(((IF('2.2 Rysäpyynti'!L46=0,0,'2.2 Rysäpyynti'!L50/'2.2 Rysäpyynti'!L46))*'2.2 Rysäpyynti'!N26)/(E18/100)))))+(((IF('2.2 Rysäpyynti'!U49=2,1,0)*(((IF('2.2 Rysäpyynti'!S46=0,0,'2.2 Rysäpyynti'!S50/'2.2 Rysäpyynti'!S46))*'2.2 Rysäpyynti'!U26)/(E18/100)))))+AB16</f>
        <v>0</v>
      </c>
      <c r="L8" s="494">
        <f>'6 Muuttuvat kustannukset'!O20/(C17/100)+'6 Muuttuvat kustannukset'!C20/(C17/100)+'6 Muuttuvat kustannukset'!R20/(C17/100)+'6 Muuttuvat kustannukset'!F20/(C17/100)</f>
        <v>0</v>
      </c>
      <c r="M8" s="416">
        <f>SUM(H8:L8)</f>
        <v>0</v>
      </c>
    </row>
    <row r="9" spans="2:28" x14ac:dyDescent="0.2">
      <c r="B9" s="214" t="s">
        <v>437</v>
      </c>
      <c r="C9" s="1602">
        <v>14</v>
      </c>
      <c r="D9" s="1603">
        <v>15.9</v>
      </c>
      <c r="E9" s="1604">
        <v>9.34</v>
      </c>
      <c r="G9" s="23" t="s">
        <v>618</v>
      </c>
      <c r="H9" s="540">
        <f>H8*C16/100</f>
        <v>0</v>
      </c>
      <c r="I9" s="540">
        <f>I8*(C16/100)</f>
        <v>0</v>
      </c>
      <c r="J9" s="540">
        <f>J8*(D16/100)</f>
        <v>0</v>
      </c>
      <c r="K9" s="540">
        <f>K8*(E16/100)</f>
        <v>0</v>
      </c>
      <c r="L9" s="540">
        <f>L8*(C16/100)</f>
        <v>0</v>
      </c>
      <c r="M9" s="449">
        <f>SUM(H9:L9)</f>
        <v>0</v>
      </c>
    </row>
    <row r="10" spans="2:28" ht="13.5" thickBot="1" x14ac:dyDescent="0.25">
      <c r="B10" s="341" t="s">
        <v>290</v>
      </c>
      <c r="C10" s="1605">
        <v>0.68</v>
      </c>
      <c r="D10" s="1606">
        <v>0.35</v>
      </c>
      <c r="E10" s="1607">
        <v>0.35</v>
      </c>
      <c r="G10" s="317" t="s">
        <v>522</v>
      </c>
      <c r="H10" s="698">
        <f>H9-H9/(1+$D$21)</f>
        <v>0</v>
      </c>
      <c r="I10" s="698">
        <f>I9-I9/(1+$D$21)</f>
        <v>0</v>
      </c>
      <c r="J10" s="698">
        <f>J9-J9/(1+$D$21)</f>
        <v>0</v>
      </c>
      <c r="K10" s="698">
        <f>K9-K9/(1+$D$21)</f>
        <v>0</v>
      </c>
      <c r="L10" s="698">
        <f>L9-L9/(1+$D$21)</f>
        <v>0</v>
      </c>
      <c r="M10" s="450">
        <f>SUM(H10:L10)</f>
        <v>0</v>
      </c>
    </row>
    <row r="11" spans="2:28" ht="13.5" thickBot="1" x14ac:dyDescent="0.25">
      <c r="B11" s="7" t="s">
        <v>287</v>
      </c>
      <c r="C11" s="693">
        <f>SUM(C8:C10)</f>
        <v>65.040000000000006</v>
      </c>
      <c r="D11" s="415">
        <f>SUM(D8:D10)</f>
        <v>46.95</v>
      </c>
      <c r="E11" s="694">
        <f>SUM(E8:E10)</f>
        <v>18.990000000000002</v>
      </c>
      <c r="G11" s="20" t="s">
        <v>324</v>
      </c>
      <c r="H11" s="501">
        <v>0</v>
      </c>
      <c r="I11" s="501">
        <f>C11*I8/100</f>
        <v>0</v>
      </c>
      <c r="J11" s="501">
        <v>0</v>
      </c>
      <c r="K11" s="501">
        <f>E11*K8/100</f>
        <v>0</v>
      </c>
      <c r="L11" s="501">
        <v>0</v>
      </c>
      <c r="M11" s="450">
        <f>SUM(H11:L11)</f>
        <v>0</v>
      </c>
    </row>
    <row r="12" spans="2:28" ht="13.5" thickBot="1" x14ac:dyDescent="0.25">
      <c r="B12" s="220" t="s">
        <v>610</v>
      </c>
      <c r="G12" s="25" t="s">
        <v>619</v>
      </c>
      <c r="H12" s="498">
        <f>H9-H10-H11</f>
        <v>0</v>
      </c>
      <c r="I12" s="498">
        <f>I9-I10-I11</f>
        <v>0</v>
      </c>
      <c r="J12" s="498">
        <f>J9-J10-J11</f>
        <v>0</v>
      </c>
      <c r="K12" s="498">
        <f>K9-K10-K11</f>
        <v>0</v>
      </c>
      <c r="L12" s="498">
        <f>L9-L10-L11</f>
        <v>0</v>
      </c>
      <c r="M12" s="451">
        <f>SUM(H12:L12)</f>
        <v>0</v>
      </c>
    </row>
    <row r="13" spans="2:28" ht="13.5" thickBot="1" x14ac:dyDescent="0.25">
      <c r="H13" t="s">
        <v>1</v>
      </c>
    </row>
    <row r="14" spans="2:28" ht="13.5" thickBot="1" x14ac:dyDescent="0.25">
      <c r="B14" s="123" t="s">
        <v>283</v>
      </c>
      <c r="C14" s="19"/>
      <c r="D14" s="337"/>
      <c r="E14" s="338" t="s">
        <v>286</v>
      </c>
      <c r="G14" s="123" t="s">
        <v>375</v>
      </c>
      <c r="H14" s="1668" t="s">
        <v>218</v>
      </c>
      <c r="I14" s="1669"/>
      <c r="J14" s="1654" t="s">
        <v>325</v>
      </c>
      <c r="K14" s="1655"/>
      <c r="L14" s="1655"/>
      <c r="M14" s="1655"/>
      <c r="N14" s="1655"/>
      <c r="O14" s="1655"/>
      <c r="P14" s="1655"/>
      <c r="Q14" s="1655"/>
      <c r="R14" s="1655"/>
      <c r="S14" s="1655"/>
      <c r="T14" s="1655"/>
      <c r="U14" s="1656"/>
      <c r="W14" s="1618"/>
      <c r="X14" s="1618"/>
      <c r="Y14" s="1618"/>
      <c r="Z14" s="1618"/>
    </row>
    <row r="15" spans="2:28" ht="13.5" thickBot="1" x14ac:dyDescent="0.25">
      <c r="B15" s="336"/>
      <c r="C15" s="340" t="s">
        <v>284</v>
      </c>
      <c r="D15" s="122" t="s">
        <v>285</v>
      </c>
      <c r="E15" s="339" t="s">
        <v>288</v>
      </c>
      <c r="G15" s="349"/>
      <c r="H15" s="1670"/>
      <c r="I15" s="1671"/>
      <c r="J15" s="1654" t="str">
        <f>'8 Taloudellinen tulos'!E39</f>
        <v>Verkko1</v>
      </c>
      <c r="K15" s="1656"/>
      <c r="L15" s="1654" t="str">
        <f>'8 Taloudellinen tulos'!G39</f>
        <v>Verkko2</v>
      </c>
      <c r="M15" s="1656"/>
      <c r="N15" s="1654" t="str">
        <f>'8 Taloudellinen tulos'!I39</f>
        <v>Isorysä1</v>
      </c>
      <c r="O15" s="1656"/>
      <c r="P15" s="1654" t="str">
        <f>'8 Taloudellinen tulos'!K39</f>
        <v>Isorysä2</v>
      </c>
      <c r="Q15" s="1656"/>
      <c r="R15" s="1654" t="str">
        <f>'8 Taloudellinen tulos'!M39</f>
        <v>PU-rysä1</v>
      </c>
      <c r="S15" s="1656"/>
      <c r="T15" s="1654" t="str">
        <f>'8 Taloudellinen tulos'!O39</f>
        <v>PU-rysä2</v>
      </c>
      <c r="U15" s="1656"/>
      <c r="W15" s="1622" t="s">
        <v>446</v>
      </c>
      <c r="X15" s="1622" t="s">
        <v>447</v>
      </c>
      <c r="Y15" s="1622" t="s">
        <v>448</v>
      </c>
      <c r="Z15" s="1622" t="s">
        <v>449</v>
      </c>
      <c r="AA15" s="1622" t="s">
        <v>540</v>
      </c>
      <c r="AB15" s="1622" t="s">
        <v>541</v>
      </c>
    </row>
    <row r="16" spans="2:28" ht="13.5" thickBot="1" x14ac:dyDescent="0.25">
      <c r="B16" s="337" t="s">
        <v>291</v>
      </c>
      <c r="C16" s="1608">
        <v>170</v>
      </c>
      <c r="D16" s="1438">
        <v>157</v>
      </c>
      <c r="E16" s="1609">
        <v>100</v>
      </c>
      <c r="G16" s="336" t="s">
        <v>1</v>
      </c>
      <c r="H16" s="177" t="s">
        <v>145</v>
      </c>
      <c r="I16" s="462" t="s">
        <v>215</v>
      </c>
      <c r="J16" s="177" t="s">
        <v>145</v>
      </c>
      <c r="K16" s="462" t="s">
        <v>215</v>
      </c>
      <c r="L16" s="177" t="s">
        <v>145</v>
      </c>
      <c r="M16" s="462" t="s">
        <v>215</v>
      </c>
      <c r="N16" s="177" t="s">
        <v>145</v>
      </c>
      <c r="O16" s="462" t="s">
        <v>215</v>
      </c>
      <c r="P16" s="177" t="s">
        <v>145</v>
      </c>
      <c r="Q16" s="462" t="s">
        <v>215</v>
      </c>
      <c r="R16" s="177" t="s">
        <v>145</v>
      </c>
      <c r="S16" s="463" t="s">
        <v>215</v>
      </c>
      <c r="T16" s="177" t="s">
        <v>145</v>
      </c>
      <c r="U16" s="463" t="s">
        <v>215</v>
      </c>
      <c r="W16" s="1623">
        <f>(D21*((((IF('2.2 Rysäpyynti'!N49=2,1,0)*'2.2 Rysäpyynti'!L50)/(E18/100))+((IF('2.2 Rysäpyynti'!U49=2,1,0)*'2.2 Rysäpyynti'!S50)/(E18/100))+(((IF('2.2 Rysäpyynti'!N49=2,1,0)*(((IF('2.2 Rysäpyynti'!L46=0,0,'2.2 Rysäpyynti'!L50/'2.2 Rysäpyynti'!L46))*'2.2 Rysäpyynti'!N19)/(E18/100)))))+(((IF('2.2 Rysäpyynti'!U49=2,1,0)*(((IF('2.2 Rysäpyynti'!S46=0,0,'2.2 Rysäpyynti'!S50/'2.2 Rysäpyynti'!S46))*'2.2 Rysäpyynti'!U19)/(E18/100)))))+(((IF('2.2 Rysäpyynti'!N49=2,1,0)*(((IF('2.2 Rysäpyynti'!L46=0,0,'2.2 Rysäpyynti'!L50/'2.2 Rysäpyynti'!L46))*'2.2 Rysäpyynti'!N26)/(E18/100)))))+(((IF('2.2 Rysäpyynti'!U49=2,1,0)*(((IF('2.2 Rysäpyynti'!S46=0,0,'2.2 Rysäpyynti'!S50/'2.2 Rysäpyynti'!S46))*'2.2 Rysäpyynti'!U26)/(E18/100))))))*(E17/100)))+('6 Muuttuvat kustannukset'!O20*D21)+'10. Verot'!$D$21*('7 Kiinteät kustannukset'!Q8+'7 Kiinteät kustannukset'!Q9+'7 Kiinteät kustannukset'!Q10+'7 Kiinteät kustannukset'!Q12+'7 Kiinteät kustannukset'!Q13+'7 Kiinteät kustannukset'!Q14+'7 Kiinteät kustannukset'!Q19+'7 Kiinteät kustannukset'!Q20+'7 Kiinteät kustannukset'!Q22+'7 Kiinteät kustannukset'!Q23+'7 Kiinteät kustannukset'!Q25+'7 Kiinteät kustannukset'!Q26+'7 Kiinteät kustannukset'!Q27+'7 Kiinteät kustannukset'!Q28+'7 Kiinteät kustannukset'!Q52-'7 Kiinteät kustannukset'!Q95-'7 Kiinteät kustannukset'!Q96-'7 Kiinteät kustannukset'!Q97)</f>
        <v>0</v>
      </c>
      <c r="X16" s="1623">
        <f>((IF('2.1 Verkkopyynti'!G83=1,1,0)*'2.1 Verkkopyynti'!E85)/(C17/100))+((IF('2.1 Verkkopyynti'!N83=1,1,0)*'2.1 Verkkopyynti'!L85)/(C17/100))+((IF('2.1 Verkkopyynti'!U83=1,1,0)*'2.1 Verkkopyynti'!S85)/(C17/100))+((IF('2.1 Verkkopyynti'!AB83=1,1,0)*'2.1 Verkkopyynti'!Z85)/(C17/100))+((IF('2.1 Verkkopyynti'!G83=1,1,0)*'2.1 Verkkopyynti'!E115)/(C17/100))+((IF('2.1 Verkkopyynti'!N83=1,1,0)*'2.1 Verkkopyynti'!L115)/(C17/100))+((IF('2.1 Verkkopyynti'!U83=1,1,0)*'2.1 Verkkopyynti'!S115)/(C17/100))+((IF('2.1 Verkkopyynti'!AB83=1,1,0)*'2.1 Verkkopyynti'!Z115)/(C17/100))+((IF('2.2 Rysäpyynti'!G121=1,1,0)*'2.2 Rysäpyynti'!E123)/(C17/100))+((IF('2.2 Rysäpyynti'!G121=1,1,0)*'2.2 Rysäpyynti'!E145)/(C17/100))+((IF('2.2 Rysäpyynti'!G121=1,1,0)*'2.2 Rysäpyynti'!E175)/(C17/100))+((IF('2.2 Rysäpyynti'!G121=1,1,0)*'2.2 Rysäpyynti'!E201)/(C17/100))+((IF('2.2 Rysäpyynti'!N141=1,1,0)*'2.2 Rysäpyynti'!L143)/(C17/100))+((IF('2.2 Rysäpyynti'!N141=1,1,0)*'2.2 Rysäpyynti'!L173)/(C17/100))+((IF('2.2 Rysäpyynti'!U141=1,1,0)*'2.2 Rysäpyynti'!S143)/(C17/100))+((IF('2.2 Rysäpyynti'!U141=1,1,0)*'2.2 Rysäpyynti'!S173)/(C17/100))+(((IF('2.2 Rysäpyynti'!N141=1,1,0)*(('2.2 Rysäpyynti'!L135*('2.2 Rysäpyynti'!L140/100)*'2.2 Rysäpyynti'!L141*'2.2 Rysäpyynti'!N120)/(C17/100)))))+(((IF('2.2 Rysäpyynti'!U141=1,1,0)*(('2.2 Rysäpyynti'!S135*('2.2 Rysäpyynti'!S140/100)*'2.2 Rysäpyynti'!S141*'2.2 Rysäpyynti'!U120)/(C17/100)))))+(((IF('2.2 Rysäpyynti'!N141=1,1,0)*(('2.2 Rysäpyynti'!L135*('2.2 Rysäpyynti'!L140/100)*'2.2 Rysäpyynti'!L141*'2.2 Rysäpyynti'!N127)/(C17/100)))))+(((IF('2.2 Rysäpyynti'!U141=1,1,0)*(('2.2 Rysäpyynti'!S135*('2.2 Rysäpyynti'!S140/100)*'2.2 Rysäpyynti'!S141*'2.2 Rysäpyynti'!U127)/(C17/100)))))</f>
        <v>0</v>
      </c>
      <c r="Y16" s="1623">
        <f>((IF('2.1 Verkkopyynti'!G83=2,1,0)*'2.1 Verkkopyynti'!E85)/(D17/100))+((IF('2.1 Verkkopyynti'!N83=2,1,0)*'2.1 Verkkopyynti'!L85)/(D17/100))+((IF('2.1 Verkkopyynti'!U83=2,1,0)*'2.1 Verkkopyynti'!S85)/(D17/100))+((IF('2.1 Verkkopyynti'!AB83=2,1,0)*'2.1 Verkkopyynti'!Z85)/(D17/100))+((IF('2.1 Verkkopyynti'!G83=2,1,0)*'2.1 Verkkopyynti'!E115)/(D17/100))+((IF('2.1 Verkkopyynti'!N83=2,1,0)*'2.1 Verkkopyynti'!L115)/(D17/100))+((IF('2.1 Verkkopyynti'!U83=2,1,0)*'2.1 Verkkopyynti'!S115)/(D17/100))+((IF('2.1 Verkkopyynti'!AB83=2,1,0)*'2.1 Verkkopyynti'!Z115)/(D17/100))+((IF('2.2 Rysäpyynti'!G121=2,1,0)*'2.2 Rysäpyynti'!E123)/(D17/100))+((IF('2.2 Rysäpyynti'!G121=2,1,0)*'2.2 Rysäpyynti'!E145)/(D17/100))+((IF('2.2 Rysäpyynti'!G121=2,1,0)*'2.2 Rysäpyynti'!E175)/(D17/100))+((IF('2.2 Rysäpyynti'!G121=2,1,0)*'2.2 Rysäpyynti'!E201)/(D17/100))+((IF('2.2 Rysäpyynti'!N141=2,1,0)*'2.2 Rysäpyynti'!L143)/(D17/100))+((IF('2.2 Rysäpyynti'!N141=2,1,0)*'2.2 Rysäpyynti'!L173)/(D17/100))+((IF('2.2 Rysäpyynti'!U141=2,1,0)*'2.2 Rysäpyynti'!S143)/(D17/100))+((IF('2.2 Rysäpyynti'!U141=2,1,0)*'2.2 Rysäpyynti'!S173)/(D17/100))+(((IF('2.2 Rysäpyynti'!N141=2,1,0)*(('2.2 Rysäpyynti'!L135*('2.2 Rysäpyynti'!L140/100)*'2.2 Rysäpyynti'!L141*'2.2 Rysäpyynti'!N120)/(D17/100)))))+(((IF('2.2 Rysäpyynti'!U141=2,1,0)*(('2.2 Rysäpyynti'!S135*('2.2 Rysäpyynti'!S140/100)*'2.2 Rysäpyynti'!S141*'2.2 Rysäpyynti'!U120)/(D17/100)))))+(((IF('2.2 Rysäpyynti'!N141=2,1,0)*(('2.2 Rysäpyynti'!L135*('2.2 Rysäpyynti'!L140/100)*'2.2 Rysäpyynti'!L141*'2.2 Rysäpyynti'!N127)/(D17/100)))))+(((IF('2.2 Rysäpyynti'!U141=2,1,0)*(('2.2 Rysäpyynti'!S135*('2.2 Rysäpyynti'!S140/100)*'2.2 Rysäpyynti'!S141*'2.2 Rysäpyynti'!U127)/(D17/100)))))</f>
        <v>0</v>
      </c>
      <c r="Z16" s="1623">
        <f>(D21*((((IF('2.2 Rysäpyynti'!N150=2,1,0)*'2.2 Rysäpyynti'!L151)/(E18/100))+((IF('2.2 Rysäpyynti'!U150=2,1,0)*'2.2 Rysäpyynti'!S151)/(E18/100))+(((IF('2.2 Rysäpyynti'!N150=2,1,0)*(((IF('2.2 Rysäpyynti'!L147=0,0,'2.2 Rysäpyynti'!L151/'2.2 Rysäpyynti'!L147))*'2.2 Rysäpyynti'!N120)/(E18/100)))))+(((IF('2.2 Rysäpyynti'!U150=2,1,0)*(((IF('2.2 Rysäpyynti'!S147=0,0,'2.2 Rysäpyynti'!S151/'2.2 Rysäpyynti'!S147))*'2.2 Rysäpyynti'!U120)/(E18/100)))))+(((IF('2.2 Rysäpyynti'!N150=2,1,0)*(((IF('2.2 Rysäpyynti'!L147=0,0,'2.2 Rysäpyynti'!L151/'2.2 Rysäpyynti'!L147))*'2.2 Rysäpyynti'!N127)/(E18/100)))))+(((IF('2.2 Rysäpyynti'!U150=2,1,0)*(((IF('2.2 Rysäpyynti'!S147=0,0,'2.2 Rysäpyynti'!S151/'2.2 Rysäpyynti'!S147))*'2.2 Rysäpyynti'!U127)/(E18/100))))))*(E17/100)))+('6 Muuttuvat kustannukset'!R20*D21)+'10. Verot'!$D$21*('7 Kiinteät kustannukset'!R8+'7 Kiinteät kustannukset'!R9+'7 Kiinteät kustannukset'!R10+'7 Kiinteät kustannukset'!R12+'7 Kiinteät kustannukset'!R13+'7 Kiinteät kustannukset'!R14+'7 Kiinteät kustannukset'!R19+'7 Kiinteät kustannukset'!R20+'7 Kiinteät kustannukset'!R22+'7 Kiinteät kustannukset'!R23+'7 Kiinteät kustannukset'!R25+'7 Kiinteät kustannukset'!R26+'7 Kiinteät kustannukset'!R27+'7 Kiinteät kustannukset'!R28+'7 Kiinteät kustannukset'!R52-'7 Kiinteät kustannukset'!R95-'7 Kiinteät kustannukset'!R96-'7 Kiinteät kustannukset'!R97)</f>
        <v>0</v>
      </c>
      <c r="AA16" s="1623">
        <f>((IF('2.1 Verkkopyynti'!G92=1,1,0)*'2.1 Verkkopyynti'!E93)/(C18/100))+((IF('2.1 Verkkopyynti'!N92=1,1,0)*'2.1 Verkkopyynti'!L93)/(C18/100))+((IF('2.1 Verkkopyynti'!U92=1,1,0)*'2.1 Verkkopyynti'!S93)/(C18/100))+((IF('2.1 Verkkopyynti'!AB92=1,1,0)*'2.1 Verkkopyynti'!Z93)/(C18/100))+((IF('2.2 Rysäpyynti'!G132=1,1,0)*'2.2 Rysäpyynti'!E133)/(C18/100))+((IF('2.2 Rysäpyynti'!G132=1,1,0)*'2.2 Rysäpyynti'!E153)/(C18/100))+((IF('2.2 Rysäpyynti'!G182=1,1,0)*'2.2 Rysäpyynti'!E183)/(C18/100))+((IF('2.2 Rysäpyynti'!N150=1,1,0)*'2.2 Rysäpyynti'!L151)/(C18/100))+((IF('2.2 Rysäpyynti'!U150=1,1,0)*'2.2 Rysäpyynti'!S151)/(C18/100))+(((IF('2.2 Rysäpyynti'!N150=1,1,0)*(((IF('2.2 Rysäpyynti'!L147=0,0,'2.2 Rysäpyynti'!L151/'2.2 Rysäpyynti'!L147))*'2.2 Rysäpyynti'!N120)/(C18/100)))))+(((IF('2.2 Rysäpyynti'!U150=1,1,0)*(((IF('2.2 Rysäpyynti'!S147=0,0,'2.2 Rysäpyynti'!S151/'2.2 Rysäpyynti'!S147))*'2.2 Rysäpyynti'!U120)/(C18/100)))))+(((IF('2.2 Rysäpyynti'!N150=1,1,0)*(((IF('2.2 Rysäpyynti'!L147=0,0,'2.2 Rysäpyynti'!L151/'2.2 Rysäpyynti'!L147))*'2.2 Rysäpyynti'!N127)/(C18/100)))))+(((IF('2.2 Rysäpyynti'!U150=1,1,0)*(((IF('2.2 Rysäpyynti'!S147=0,0,'2.2 Rysäpyynti'!S151/'2.2 Rysäpyynti'!S147))*'2.2 Rysäpyynti'!U127)/(C18/100)))))</f>
        <v>0</v>
      </c>
      <c r="AB16" s="1623">
        <f>((IF('2.1 Verkkopyynti'!G92=2,1,0)*'2.1 Verkkopyynti'!E93)/(E18/100))+((IF('2.1 Verkkopyynti'!N92=2,1,0)*'2.1 Verkkopyynti'!L93)/(E18/100))+((IF('2.1 Verkkopyynti'!U92=2,1,0)*'2.1 Verkkopyynti'!S93)/(E18/100))+((IF('2.1 Verkkopyynti'!AB92=2,1,0)*'2.1 Verkkopyynti'!Z93)/(E18/100))+((IF('2.2 Rysäpyynti'!G132=2,1,0)*'2.2 Rysäpyynti'!E133)/(E18/100))+((IF('2.2 Rysäpyynti'!G132=2,1,0)*'2.2 Rysäpyynti'!E153)/(E18/100))+((IF('2.2 Rysäpyynti'!G182=2,1,0)*'2.2 Rysäpyynti'!E183)/(E18/100))+((IF('2.2 Rysäpyynti'!N150=2,1,0)*'2.2 Rysäpyynti'!L151)/(E18/100))+((IF('2.2 Rysäpyynti'!U150=2,1,0)*'2.2 Rysäpyynti'!S151)/(E18/100))+(((IF('2.2 Rysäpyynti'!N150=2,1,0)*(((IF('2.2 Rysäpyynti'!L147=0,0,'2.2 Rysäpyynti'!L151/'2.2 Rysäpyynti'!L147))*'2.2 Rysäpyynti'!N120)/(E18/100)))))+(((IF('2.2 Rysäpyynti'!U150=2,1,0)*(((IF('2.2 Rysäpyynti'!S147=0,0,'2.2 Rysäpyynti'!S151/'2.2 Rysäpyynti'!S147))*'2.2 Rysäpyynti'!U120)/(E18/100)))))+(((IF('2.2 Rysäpyynti'!N150=2,1,0)*(((IF('2.2 Rysäpyynti'!L147=0,0,'2.2 Rysäpyynti'!L151/'2.2 Rysäpyynti'!L147))*'2.2 Rysäpyynti'!N127)/(E18/100)))))+(((IF('2.2 Rysäpyynti'!U150=2,1,0)*(((IF('2.2 Rysäpyynti'!S147=0,0,'2.2 Rysäpyynti'!S151/'2.2 Rysäpyynti'!S147))*'2.2 Rysäpyynti'!U127)/(E18/100)))))</f>
        <v>0</v>
      </c>
    </row>
    <row r="17" spans="2:21" x14ac:dyDescent="0.2">
      <c r="B17" s="3" t="s">
        <v>292</v>
      </c>
      <c r="C17" s="573">
        <f>C16/(1+$D$21)</f>
        <v>137.09677419354838</v>
      </c>
      <c r="D17" s="584">
        <f>D16/(1+$D$21)</f>
        <v>126.61290322580645</v>
      </c>
      <c r="E17" s="587">
        <f>E16/(1+$D$21)</f>
        <v>80.645161290322577</v>
      </c>
      <c r="G17" s="20" t="s">
        <v>317</v>
      </c>
      <c r="H17" s="519">
        <f>'8 Taloudellinen tulos'!C8*'10. Verot'!$C$21</f>
        <v>0</v>
      </c>
      <c r="I17" s="716">
        <f>IF(H17=0,0,H17/$H$17)</f>
        <v>0</v>
      </c>
      <c r="J17" s="519">
        <f>'8 Taloudellinen tulos'!E8*'10. Verot'!$C$21</f>
        <v>0</v>
      </c>
      <c r="K17" s="716">
        <f>IF(J17=0,0,J17/$J$17)</f>
        <v>0</v>
      </c>
      <c r="L17" s="519">
        <f>'8 Taloudellinen tulos'!G8*'10. Verot'!$C$21</f>
        <v>0</v>
      </c>
      <c r="M17" s="716">
        <f>IF(L17=0,0,L17/$L$17)</f>
        <v>0</v>
      </c>
      <c r="N17" s="519">
        <f>'8 Taloudellinen tulos'!I8*'10. Verot'!$C$21</f>
        <v>0</v>
      </c>
      <c r="O17" s="719">
        <f>IF(N17=0,0,N17/$N$17)</f>
        <v>0</v>
      </c>
      <c r="P17" s="519">
        <f>'8 Taloudellinen tulos'!K8*'10. Verot'!$C$21</f>
        <v>0</v>
      </c>
      <c r="Q17" s="719">
        <f>IF(P17=0,0,P17/$P$17)</f>
        <v>0</v>
      </c>
      <c r="R17" s="519">
        <f>'8 Taloudellinen tulos'!M8*'10. Verot'!$C$21</f>
        <v>0</v>
      </c>
      <c r="S17" s="716">
        <f>IF(R17=0,0,R17/$R$17)</f>
        <v>0</v>
      </c>
      <c r="T17" s="519">
        <f>'8 Taloudellinen tulos'!O8*'10. Verot'!$C$21</f>
        <v>0</v>
      </c>
      <c r="U17" s="716">
        <f>IF(T17=0,0,T17/$T$17)</f>
        <v>0</v>
      </c>
    </row>
    <row r="18" spans="2:21" ht="13.5" thickBot="1" x14ac:dyDescent="0.25">
      <c r="B18" s="7" t="s">
        <v>293</v>
      </c>
      <c r="C18" s="695">
        <f>C17-C11</f>
        <v>72.056774193548378</v>
      </c>
      <c r="D18" s="696">
        <f>D17-D11</f>
        <v>79.662903225806446</v>
      </c>
      <c r="E18" s="697">
        <f>E17-E11</f>
        <v>61.655161290322575</v>
      </c>
      <c r="G18" s="20" t="s">
        <v>318</v>
      </c>
      <c r="H18" s="536">
        <f>J18+L18+N18+P18+R18+T18</f>
        <v>0</v>
      </c>
      <c r="I18" s="717">
        <f>IF((J17+L17+N17+P17+R17+T17)=0,0,(J18+L18+N18+P18+R18+T18)/(J17+L17+N17+P17+R17+T17))</f>
        <v>0</v>
      </c>
      <c r="J18" s="536">
        <f>('6 Muuttuvat kustannukset'!C20*D21)+(D21*((E17/100)*(((IF('2.1 Verkkopyynti'!G34=2,1,0)*'2.1 Verkkopyynti'!E35)/(E18/100))+((IF('2.1 Verkkopyynti'!N34=2,1,0)*'2.1 Verkkopyynti'!L35)/(E18/100))+((IF('2.1 Verkkopyynti'!U34=2,1,0)*'2.1 Verkkopyynti'!S35)/(E18/100))+((IF('2.1 Verkkopyynti'!AB34=2,1,0)*'2.1 Verkkopyynti'!Z35)/(E18/100)))))+(D21*((D17/100)*(((IF('2.1 Verkkopyynti'!G25=2,1,0)*'2.1 Verkkopyynti'!E27)/(D17/100))+((IF('2.1 Verkkopyynti'!N25=2,1,0)*'2.1 Verkkopyynti'!L27)/(D17/100))+((IF('2.1 Verkkopyynti'!U25=2,1,0)*'2.1 Verkkopyynti'!S27)/(D17/100))+((IF('2.1 Verkkopyynti'!AB25=2,1,0)*'2.1 Verkkopyynti'!Z27)/(D17/100))+((IF('2.1 Verkkopyynti'!G25=2,1,0)*'2.1 Verkkopyynti'!E57)/(D17/100))+((IF('2.1 Verkkopyynti'!N25=2,1,0)*'2.1 Verkkopyynti'!L57)/(D17/100))+((IF('2.1 Verkkopyynti'!U25=2,1,0)*'2.1 Verkkopyynti'!S57)/(D17/100))+((IF('2.1 Verkkopyynti'!AB25=2,1,0)*'2.1 Verkkopyynti'!Z57)/(D17/100)))))+(D21*((C17/100)*(((IF('2.1 Verkkopyynti'!G34=1,1,0)*'2.1 Verkkopyynti'!E35)/(C18/100))+((IF('2.1 Verkkopyynti'!N34=1,1,0)*'2.1 Verkkopyynti'!L35)/(C18/100))+((IF('2.1 Verkkopyynti'!U34=1,1,0)*'2.1 Verkkopyynti'!S35)/(C18/100))+((IF('2.1 Verkkopyynti'!AB34=1,1,0)*'2.1 Verkkopyynti'!Z35)/(C18/100)))))+(D21*((C17/100)*(((IF('2.1 Verkkopyynti'!G25=1,1,0)*'2.1 Verkkopyynti'!E27)/(C17/100))+((IF('2.1 Verkkopyynti'!N25=1,1,0)*'2.1 Verkkopyynti'!L27)/(C17/100))+((IF('2.1 Verkkopyynti'!U25=1,1,0)*'2.1 Verkkopyynti'!S27)/(C17/100))+((IF('2.1 Verkkopyynti'!AB25=1,1,0)*'2.1 Verkkopyynti'!Z27)/(C17/100))+((IF('2.1 Verkkopyynti'!G25=1,1,0)*'2.1 Verkkopyynti'!E57)/(C17/100))+((IF('2.1 Verkkopyynti'!N25=1,1,0)*'2.1 Verkkopyynti'!L57)/(C17/100))+((IF('2.1 Verkkopyynti'!U25=1,1,0)*'2.1 Verkkopyynti'!S57)/(C17/100))+((IF('2.1 Verkkopyynti'!AB25=1,1,0)*'2.1 Verkkopyynti'!Z57)/(C17/100)))))+'10. Verot'!$D$21*'6 Muuttuvat kustannukset'!E26+'10. Verot'!$D$21*('7 Kiinteät kustannukset'!M8+'7 Kiinteät kustannukset'!M9+'7 Kiinteät kustannukset'!M10+'7 Kiinteät kustannukset'!M12+'7 Kiinteät kustannukset'!M13+'7 Kiinteät kustannukset'!M14+'7 Kiinteät kustannukset'!M19+'7 Kiinteät kustannukset'!M20+'7 Kiinteät kustannukset'!M22+'7 Kiinteät kustannukset'!M23+'7 Kiinteät kustannukset'!M25+'7 Kiinteät kustannukset'!M26+'7 Kiinteät kustannukset'!M27+'7 Kiinteät kustannukset'!M28+'7 Kiinteät kustannukset'!M52-'7 Kiinteät kustannukset'!M95-'7 Kiinteät kustannukset'!M96-'7 Kiinteät kustannukset'!M97)</f>
        <v>0</v>
      </c>
      <c r="K18" s="717">
        <f>IF(J17=0,0,J18/$J$17)</f>
        <v>0</v>
      </c>
      <c r="L18" s="536">
        <f>('6 Muuttuvat kustannukset'!F20*D21)+(D21*((E17/100)*(((IF('2.1 Verkkopyynti'!G92=2,1,0)*'2.1 Verkkopyynti'!E93)/(E18/100))+((IF('2.1 Verkkopyynti'!N92=2,1,0)*'2.1 Verkkopyynti'!L93)/(E18/100))+((IF('2.1 Verkkopyynti'!U92=2,1,0)*'2.1 Verkkopyynti'!S93)/(E18/100))+((IF('2.1 Verkkopyynti'!AB92=2,1,0)*'2.1 Verkkopyynti'!Z93)/(E18/100)))))+(D21*((D17/100)*(((IF('2.1 Verkkopyynti'!G83=2,1,0)*'2.1 Verkkopyynti'!E85)/(D17/100))+((IF('2.1 Verkkopyynti'!N83=2,1,0)*'2.1 Verkkopyynti'!L85)/(D17/100))+((IF('2.1 Verkkopyynti'!U83=2,1,0)*'2.1 Verkkopyynti'!S85)/(D17/100))+((IF('2.1 Verkkopyynti'!AB83=2,1,0)*'2.1 Verkkopyynti'!Z85)/(D17/100))+((IF('2.1 Verkkopyynti'!G83=2,1,0)*'2.1 Verkkopyynti'!E115)/(D17/100))+((IF('2.1 Verkkopyynti'!N83=2,1,0)*'2.1 Verkkopyynti'!L115)/(D17/100))+((IF('2.1 Verkkopyynti'!U83=2,1,0)*'2.1 Verkkopyynti'!S115)/(D17/100))+((IF('2.1 Verkkopyynti'!AB83=2,1,0)*'2.1 Verkkopyynti'!Z115)/(D17/100)))))+(D21*((C17/100)*(((IF('2.1 Verkkopyynti'!G92=1,1,0)*'2.1 Verkkopyynti'!E93)/(C18/100))+((IF('2.1 Verkkopyynti'!N92=1,1,0)*'2.1 Verkkopyynti'!L93)/(C18/100))+((IF('2.1 Verkkopyynti'!U92=1,1,0)*'2.1 Verkkopyynti'!S93)/(C18/100))+((IF('2.1 Verkkopyynti'!AB92=1,1,0)*'2.1 Verkkopyynti'!Z93)/(C18/100)))))+(D21*((C17/100)*(((IF('2.1 Verkkopyynti'!G83=1,1,0)*'2.1 Verkkopyynti'!E85)/(C17/100))+((IF('2.1 Verkkopyynti'!N83=1,1,0)*'2.1 Verkkopyynti'!L85)/(C17/100))+((IF('2.1 Verkkopyynti'!U83=1,1,0)*'2.1 Verkkopyynti'!S85)/(C17/100))+((IF('2.1 Verkkopyynti'!AB83=1,1,0)*'2.1 Verkkopyynti'!Z85)/(C17/100))+((IF('2.1 Verkkopyynti'!G83=1,1,0)*'2.1 Verkkopyynti'!E115)/(C17/100))+((IF('2.1 Verkkopyynti'!N83=1,1,0)*'2.1 Verkkopyynti'!L115)/(C17/100))+((IF('2.1 Verkkopyynti'!U83=1,1,0)*'2.1 Verkkopyynti'!S115)/(C17/100))+((IF('2.1 Verkkopyynti'!AB83=1,1,0)*'2.1 Verkkopyynti'!Z115)/(C17/100)))))+'10. Verot'!$D$21*'6 Muuttuvat kustannukset'!H26+'10. Verot'!$D$21*('7 Kiinteät kustannukset'!N8+'7 Kiinteät kustannukset'!N9+'7 Kiinteät kustannukset'!N10+'7 Kiinteät kustannukset'!N12+'7 Kiinteät kustannukset'!N13+'7 Kiinteät kustannukset'!N14+'7 Kiinteät kustannukset'!N19+'7 Kiinteät kustannukset'!N20+'7 Kiinteät kustannukset'!N22+'7 Kiinteät kustannukset'!N23+'7 Kiinteät kustannukset'!N25+'7 Kiinteät kustannukset'!N26+'7 Kiinteät kustannukset'!N27+'7 Kiinteät kustannukset'!N28+'7 Kiinteät kustannukset'!N52-'7 Kiinteät kustannukset'!N95-'7 Kiinteät kustannukset'!N96-'7 Kiinteät kustannukset'!N97)</f>
        <v>0</v>
      </c>
      <c r="M18" s="717">
        <f>IF(L17=0,0,L18/$L$17)</f>
        <v>0</v>
      </c>
      <c r="N18" s="536">
        <f>(('6 Muuttuvat kustannukset'!I15+'6 Muuttuvat kustannukset'!I18+'6 Muuttuvat kustannukset'!I22+'6 Muuttuvat kustannukset'!I24)*'10. Verot'!D21)+((IF('2.2 Rysäpyynti'!G31=1,1,0)*(('6 Muuttuvat kustannukset'!I16+'6 Muuttuvat kustannukset'!I25)/('10. Verot'!C18/100)*('10. Verot'!C16-'10. Verot'!C17)/100)))+((IF('2.2 Rysäpyynti'!G31=2,1,0)*(('6 Muuttuvat kustannukset'!I16+'6 Muuttuvat kustannukset'!I25)/('10. Verot'!E18/100)*('10. Verot'!E16-'10. Verot'!E17)/100)))+((IF('2.2 Rysäpyynti'!G81=1,1,0)*(('6 Muuttuvat kustannukset'!I19)/('10. Verot'!C18/100)*('10. Verot'!C16-'10. Verot'!C17)/100)))+((IF('2.2 Rysäpyynti'!G81=2,1,0)*(('6 Muuttuvat kustannukset'!I19)/('10. Verot'!E18/100)*('10. Verot'!E16-'10. Verot'!E17)/100)))+'10. Verot'!$D$21*'6 Muuttuvat kustannukset'!K26+'10. Verot'!$D$21*('7 Kiinteät kustannukset'!O8+'7 Kiinteät kustannukset'!O9+'7 Kiinteät kustannukset'!O10+'7 Kiinteät kustannukset'!O12+'7 Kiinteät kustannukset'!O13+'7 Kiinteät kustannukset'!O14+'7 Kiinteät kustannukset'!O19+'7 Kiinteät kustannukset'!O20+'7 Kiinteät kustannukset'!O22+'7 Kiinteät kustannukset'!O23+'7 Kiinteät kustannukset'!O25+'7 Kiinteät kustannukset'!O26+'7 Kiinteät kustannukset'!O27+'7 Kiinteät kustannukset'!O28+'7 Kiinteät kustannukset'!O52-'7 Kiinteät kustannukset'!O95-'7 Kiinteät kustannukset'!O96-'7 Kiinteät kustannukset'!O97)</f>
        <v>0</v>
      </c>
      <c r="O18" s="720">
        <f>IF(N17=0,0,N18/$N$17)</f>
        <v>0</v>
      </c>
      <c r="P18" s="536">
        <f>(('6 Muuttuvat kustannukset'!L15+'6 Muuttuvat kustannukset'!L18+'6 Muuttuvat kustannukset'!L22+'6 Muuttuvat kustannukset'!L24)*'10. Verot'!D21)+((IF('2.2 Rysäpyynti'!G132=1,1,0)*(('6 Muuttuvat kustannukset'!L16+'6 Muuttuvat kustannukset'!L25)/('10. Verot'!C18/100)*('10. Verot'!C16-'10. Verot'!C17)/100)))+((IF('2.2 Rysäpyynti'!G132=2,1,0)*(('6 Muuttuvat kustannukset'!L16+'6 Muuttuvat kustannukset'!L25)/('10. Verot'!E18/100)*('10. Verot'!E16-'10. Verot'!E17)/100)))+((IF('2.2 Rysäpyynti'!G182=1,1,0)*(('6 Muuttuvat kustannukset'!L19)/('10. Verot'!C18/100)*('10. Verot'!C16-'10. Verot'!C17)/100)))+((IF('2.2 Rysäpyynti'!G182=2,1,0)*(('6 Muuttuvat kustannukset'!L19)/('10. Verot'!E18/100)*('10. Verot'!E16-'10. Verot'!E17)/100)))+'10. Verot'!$D$21*'6 Muuttuvat kustannukset'!N26+'10. Verot'!$D$21*('7 Kiinteät kustannukset'!P8+'7 Kiinteät kustannukset'!P9+'7 Kiinteät kustannukset'!P10+'7 Kiinteät kustannukset'!P12+'7 Kiinteät kustannukset'!P13+'7 Kiinteät kustannukset'!P14+'7 Kiinteät kustannukset'!P19+'7 Kiinteät kustannukset'!P20+'7 Kiinteät kustannukset'!P22+'7 Kiinteät kustannukset'!P23+'7 Kiinteät kustannukset'!P25+'7 Kiinteät kustannukset'!P26+'7 Kiinteät kustannukset'!P27+'7 Kiinteät kustannukset'!P28+'7 Kiinteät kustannukset'!P52-'7 Kiinteät kustannukset'!P95-'7 Kiinteät kustannukset'!P96-'7 Kiinteät kustannukset'!P97)</f>
        <v>0</v>
      </c>
      <c r="Q18" s="720">
        <f>IF(P17=0,0,P18/$P$17)</f>
        <v>0</v>
      </c>
      <c r="R18" s="536">
        <f>W16+(D21*((((IF('2.2 Rysäpyynti'!N40=2,1,0)*'2.2 Rysäpyynti'!L42)/(D17/100))+((IF('2.2 Rysäpyynti'!N40=2,1,0)*'2.2 Rysäpyynti'!L72)/(D17/100))+((IF('2.2 Rysäpyynti'!U40=2,1,0)*'2.2 Rysäpyynti'!S42)/(D17/100))+((IF('2.2 Rysäpyynti'!U40=2,1,0)*'2.2 Rysäpyynti'!S72)/(D17/100))+(((IF('2.2 Rysäpyynti'!N40=2,1,0)*(('2.2 Rysäpyynti'!L34*('2.2 Rysäpyynti'!L39/100)*'2.2 Rysäpyynti'!L40*'2.2 Rysäpyynti'!N19)/(D17/100)))))+(((IF('2.2 Rysäpyynti'!U40=2,1,0)*(('2.2 Rysäpyynti'!S34*('2.2 Rysäpyynti'!S39/100)*'2.2 Rysäpyynti'!S40*'2.2 Rysäpyynti'!U19)/(D17/100)))))+(((IF('2.2 Rysäpyynti'!N40=2,1,0)*(('2.2 Rysäpyynti'!L34*('2.2 Rysäpyynti'!L39/100)*'2.2 Rysäpyynti'!L40*'2.2 Rysäpyynti'!N26)/(D17/100)))))+(((IF('2.2 Rysäpyynti'!U40=2,1,0)*(('2.2 Rysäpyynti'!S34*('2.2 Rysäpyynti'!S39/100)*'2.2 Rysäpyynti'!S40*'2.2 Rysäpyynti'!U26)/(D17/100))))))*(D17/100)))+(D21*((((IF('2.2 Rysäpyynti'!N49=1,1,0)*'2.2 Rysäpyynti'!L50)/(C18/100))+((IF('2.2 Rysäpyynti'!U49=1,1,0)*'2.2 Rysäpyynti'!S50)/(C18/100))+(((IF('2.2 Rysäpyynti'!N49=1,1,0)*(((IF('2.2 Rysäpyynti'!L46=0,0,'2.2 Rysäpyynti'!L50/'2.2 Rysäpyynti'!L46))*'2.2 Rysäpyynti'!N19)/(C18/100)))))+(((IF('2.2 Rysäpyynti'!U49=1,1,0)*(((IF('2.2 Rysäpyynti'!S46=0,0,'2.2 Rysäpyynti'!S50/'2.2 Rysäpyynti'!S46))*'2.2 Rysäpyynti'!U19)/(C18/100)))))+(((IF('2.2 Rysäpyynti'!N49=1,1,0)*(((IF('2.2 Rysäpyynti'!L46=0,0,'2.2 Rysäpyynti'!L50/'2.2 Rysäpyynti'!L46))*'2.2 Rysäpyynti'!N26)/(C18/100)))))+(((IF('2.2 Rysäpyynti'!U49=1,1,0)*(((IF('2.2 Rysäpyynti'!S46=0,0,'2.2 Rysäpyynti'!S50/'2.2 Rysäpyynti'!S46))*'2.2 Rysäpyynti'!U26)/(C18/100))))))*(C17/100)))+(D21*((C17/100)*(((IF('2.2 Rysäpyynti'!N40=1,1,0)*'2.2 Rysäpyynti'!L42)/(C17/100))+((IF('2.2 Rysäpyynti'!N40=1,1,0)*'2.2 Rysäpyynti'!L72)/(C17/100))+((IF('2.2 Rysäpyynti'!U40=1,1,0)*'2.2 Rysäpyynti'!S42)/(C17/100))+((IF('2.2 Rysäpyynti'!U40=1,1,0)*'2.2 Rysäpyynti'!S72)/(C17/100))+(((IF('2.2 Rysäpyynti'!N40=1,1,0)*(('2.2 Rysäpyynti'!L34*('2.2 Rysäpyynti'!L39/100)*'2.2 Rysäpyynti'!L40*'2.2 Rysäpyynti'!N19)/(C17/100)))))+(((IF('2.2 Rysäpyynti'!U40=1,1,0)*(('2.2 Rysäpyynti'!S34*('2.2 Rysäpyynti'!S39/100)*'2.2 Rysäpyynti'!S40*'2.2 Rysäpyynti'!U19)/(C17/100)))))+(((IF('2.2 Rysäpyynti'!N40=1,1,0)*(('2.2 Rysäpyynti'!L34*('2.2 Rysäpyynti'!L39/100)*'2.2 Rysäpyynti'!L40*'2.2 Rysäpyynti'!N26)/(C17/100)))))+(((IF('2.2 Rysäpyynti'!U40=1,1,0)*(('2.2 Rysäpyynti'!S34*('2.2 Rysäpyynti'!S39/100)*'2.2 Rysäpyynti'!S40*'2.2 Rysäpyynti'!U26)/(C17/100))))))))+'10. Verot'!$D$21*'6 Muuttuvat kustannukset'!Q26</f>
        <v>0</v>
      </c>
      <c r="S18" s="717">
        <f>IF(R17=0,0,R18/$R$17)</f>
        <v>0</v>
      </c>
      <c r="T18" s="536">
        <f>Z16+(D21*((((IF('2.2 Rysäpyynti'!N141=2,1,0)*'2.2 Rysäpyynti'!L143)/(D17/100))+((IF('2.2 Rysäpyynti'!N141=2,1,0)*'2.2 Rysäpyynti'!L173)/(D17/100))+((IF('2.2 Rysäpyynti'!U141=2,1,0)*'2.2 Rysäpyynti'!S143)/(D17/100))+((IF('2.2 Rysäpyynti'!U141=2,1,0)*'2.2 Rysäpyynti'!S173)/(D17/100))+(((IF('2.2 Rysäpyynti'!N141=2,1,0)*(('2.2 Rysäpyynti'!L135*('2.2 Rysäpyynti'!L140/100)*'2.2 Rysäpyynti'!L141*'2.2 Rysäpyynti'!N120)/(D17/100)))))+(((IF('2.2 Rysäpyynti'!U141=2,1,0)*(('2.2 Rysäpyynti'!S135*('2.2 Rysäpyynti'!S140/100)*'2.2 Rysäpyynti'!S141*'2.2 Rysäpyynti'!U120)/(D17/100)))))+(((IF('2.2 Rysäpyynti'!N141=2,1,0)*(('2.2 Rysäpyynti'!L135*('2.2 Rysäpyynti'!L140/100)*'2.2 Rysäpyynti'!L141*'2.2 Rysäpyynti'!N127)/(D17/100)))))+(((IF('2.2 Rysäpyynti'!U141=2,1,0)*(('2.2 Rysäpyynti'!S135*('2.2 Rysäpyynti'!S140/100)*'2.2 Rysäpyynti'!S141*'2.2 Rysäpyynti'!U127)/(D17/100))))))*(D17/100)))+(D21*((((IF('2.2 Rysäpyynti'!N150=1,1,0)*'2.2 Rysäpyynti'!L151)/(C18/100))+((IF('2.2 Rysäpyynti'!U150=1,1,0)*'2.2 Rysäpyynti'!S151)/(C18/100))+(((IF('2.2 Rysäpyynti'!N150=1,1,0)*(((IF('2.2 Rysäpyynti'!L147=0,0,'2.2 Rysäpyynti'!L151/'2.2 Rysäpyynti'!L147))*'2.2 Rysäpyynti'!N120)/(C18/100)))))+(((IF('2.2 Rysäpyynti'!U150=1,1,0)*(((IF('2.2 Rysäpyynti'!S147=0,0,'2.2 Rysäpyynti'!S151/'2.2 Rysäpyynti'!S147))*'2.2 Rysäpyynti'!U120)/(C18/100)))))+(((IF('2.2 Rysäpyynti'!N150=1,1,0)*(((IF('2.2 Rysäpyynti'!L147=0,0,'2.2 Rysäpyynti'!L151/'2.2 Rysäpyynti'!L147))*'2.2 Rysäpyynti'!N127)/(C18/100)))))+(((IF('2.2 Rysäpyynti'!U150=1,1,0)*(((IF('2.2 Rysäpyynti'!S147=0,0,'2.2 Rysäpyynti'!S151/'2.2 Rysäpyynti'!S147))*'2.2 Rysäpyynti'!U127)/(C18/100))))))*(C17/100)))+(D21*((C17/100)*(((IF('2.2 Rysäpyynti'!N141=1,1,0)*'2.2 Rysäpyynti'!L143)/(C17/100))+((IF('2.2 Rysäpyynti'!N141=1,1,0)*'2.2 Rysäpyynti'!L173)/(C17/100))+((IF('2.2 Rysäpyynti'!U141=1,1,0)*'2.2 Rysäpyynti'!S143)/(C17/100))+((IF('2.2 Rysäpyynti'!U141=1,1,0)*'2.2 Rysäpyynti'!S173)/(C17/100))+(((IF('2.2 Rysäpyynti'!N141=1,1,0)*(('2.2 Rysäpyynti'!L135*('2.2 Rysäpyynti'!L140/100)*'2.2 Rysäpyynti'!L141*'2.2 Rysäpyynti'!N120)/(C17/100)))))+(((IF('2.2 Rysäpyynti'!U141=1,1,0)*(('2.2 Rysäpyynti'!S135*('2.2 Rysäpyynti'!S140/100)*'2.2 Rysäpyynti'!S141*'2.2 Rysäpyynti'!U120)/(C17/100)))))+(((IF('2.2 Rysäpyynti'!N141=1,1,0)*(('2.2 Rysäpyynti'!L135*('2.2 Rysäpyynti'!L140/100)*'2.2 Rysäpyynti'!L141*'2.2 Rysäpyynti'!N127)/(C17/100)))))+(((IF('2.2 Rysäpyynti'!U141=1,1,0)*(('2.2 Rysäpyynti'!S135*('2.2 Rysäpyynti'!S140/100)*'2.2 Rysäpyynti'!S141*'2.2 Rysäpyynti'!U127)/(C17/100))))))))+'10. Verot'!$D$21*'6 Muuttuvat kustannukset'!T26</f>
        <v>0</v>
      </c>
      <c r="U18" s="717">
        <f>IF(T17=0,0,T18/$T$17)</f>
        <v>0</v>
      </c>
    </row>
    <row r="19" spans="2:21" ht="13.5" thickBot="1" x14ac:dyDescent="0.25">
      <c r="C19" t="s">
        <v>1</v>
      </c>
      <c r="D19" t="s">
        <v>1</v>
      </c>
      <c r="G19" s="38" t="s">
        <v>326</v>
      </c>
      <c r="H19" s="522">
        <f>H17-H18</f>
        <v>0</v>
      </c>
      <c r="I19" s="718">
        <f>IF(H17=0,0,H19/$H$17)</f>
        <v>0</v>
      </c>
      <c r="J19" s="522">
        <f>J17-J18</f>
        <v>0</v>
      </c>
      <c r="K19" s="718">
        <f>IF(J17=0,0,J19/$J$17)</f>
        <v>0</v>
      </c>
      <c r="L19" s="522">
        <f>L17-L18</f>
        <v>0</v>
      </c>
      <c r="M19" s="718">
        <f>IF(L17=0,0,L19/$L$17)</f>
        <v>0</v>
      </c>
      <c r="N19" s="522">
        <f>N17-N18</f>
        <v>0</v>
      </c>
      <c r="O19" s="721">
        <f>IF(N17=0,0,N19/$N$17)</f>
        <v>0</v>
      </c>
      <c r="P19" s="522">
        <f>P17-P18</f>
        <v>0</v>
      </c>
      <c r="Q19" s="721">
        <f>IF(P17=0,0,P19/$P$17)</f>
        <v>0</v>
      </c>
      <c r="R19" s="522">
        <f>R17-R18</f>
        <v>0</v>
      </c>
      <c r="S19" s="718">
        <f>IF(R17=0,0,R19/$R$17)</f>
        <v>0</v>
      </c>
      <c r="T19" s="522">
        <f>T17-T18</f>
        <v>0</v>
      </c>
      <c r="U19" s="718">
        <f>IF(T17=0,0,T19/$T$17)</f>
        <v>0</v>
      </c>
    </row>
    <row r="20" spans="2:21" ht="13.5" thickBot="1" x14ac:dyDescent="0.25">
      <c r="B20" s="343" t="s">
        <v>294</v>
      </c>
      <c r="C20" s="332" t="s">
        <v>296</v>
      </c>
      <c r="D20" s="332" t="s">
        <v>297</v>
      </c>
      <c r="E20" s="338" t="s">
        <v>295</v>
      </c>
    </row>
    <row r="21" spans="2:21" ht="13.5" thickBot="1" x14ac:dyDescent="0.25">
      <c r="B21" s="200" t="s">
        <v>316</v>
      </c>
      <c r="C21" s="1610">
        <v>0.14000000000000001</v>
      </c>
      <c r="D21" s="1611">
        <v>0.24</v>
      </c>
      <c r="E21" s="1611">
        <v>0.1</v>
      </c>
      <c r="J21" s="27"/>
    </row>
    <row r="23" spans="2:21" x14ac:dyDescent="0.2">
      <c r="G23" s="75"/>
    </row>
    <row r="26" spans="2:21" x14ac:dyDescent="0.2">
      <c r="H26" s="27"/>
    </row>
    <row r="27" spans="2:21" x14ac:dyDescent="0.2">
      <c r="G27" s="1197" t="s">
        <v>1</v>
      </c>
    </row>
    <row r="31" spans="2:21" x14ac:dyDescent="0.2">
      <c r="Q31" s="319" t="s">
        <v>1</v>
      </c>
    </row>
    <row r="34" spans="7:7" x14ac:dyDescent="0.2">
      <c r="G34" t="s">
        <v>1</v>
      </c>
    </row>
    <row r="50" spans="5:25" x14ac:dyDescent="0.2">
      <c r="Y50" s="319" t="s">
        <v>1</v>
      </c>
    </row>
    <row r="53" spans="5:25" x14ac:dyDescent="0.2">
      <c r="E53" t="s">
        <v>1</v>
      </c>
    </row>
  </sheetData>
  <sheetProtection password="C576" sheet="1" objects="1" scenarios="1"/>
  <mergeCells count="9">
    <mergeCell ref="H14:I15"/>
    <mergeCell ref="L6:L7"/>
    <mergeCell ref="J14:U14"/>
    <mergeCell ref="J15:K15"/>
    <mergeCell ref="L15:M15"/>
    <mergeCell ref="N15:O15"/>
    <mergeCell ref="P15:Q15"/>
    <mergeCell ref="R15:S15"/>
    <mergeCell ref="T15:U15"/>
  </mergeCells>
  <phoneticPr fontId="16" type="noConversion"/>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21" max="1048575" man="1"/>
  </colBreaks>
  <ignoredErrors>
    <ignoredError sqref="S19 I19 M19 Q19 O19 K19" formula="1"/>
  </ignoredErrors>
  <legacyDrawing r:id="rId2"/>
  <picture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R63"/>
  <sheetViews>
    <sheetView showGridLines="0" zoomScaleNormal="100" workbookViewId="0">
      <selection activeCell="K31" sqref="K31"/>
    </sheetView>
  </sheetViews>
  <sheetFormatPr defaultRowHeight="12.75" x14ac:dyDescent="0.2"/>
  <cols>
    <col min="1" max="1" width="5.42578125" customWidth="1"/>
    <col min="2" max="2" width="36" bestFit="1" customWidth="1"/>
    <col min="3" max="9" width="12.7109375" customWidth="1"/>
    <col min="10" max="10" width="8.42578125" customWidth="1"/>
    <col min="11" max="11" width="3.85546875" customWidth="1"/>
    <col min="12" max="12" width="5.140625" customWidth="1"/>
    <col min="13" max="13" width="30.140625" customWidth="1"/>
    <col min="14" max="16" width="14.140625" customWidth="1"/>
    <col min="17" max="17" width="19" customWidth="1"/>
  </cols>
  <sheetData>
    <row r="1" spans="2:17" ht="13.5" thickBot="1" x14ac:dyDescent="0.25"/>
    <row r="2" spans="2:17" ht="21" thickBot="1" x14ac:dyDescent="0.35">
      <c r="B2" s="90" t="s">
        <v>334</v>
      </c>
      <c r="C2" s="121"/>
    </row>
    <row r="3" spans="2:17" ht="20.25" x14ac:dyDescent="0.3">
      <c r="B3" s="121"/>
      <c r="C3" s="121"/>
    </row>
    <row r="4" spans="2:17" ht="21" thickBot="1" x14ac:dyDescent="0.35">
      <c r="B4" s="121"/>
      <c r="C4" s="121"/>
    </row>
    <row r="5" spans="2:17" ht="13.5" thickBot="1" x14ac:dyDescent="0.25">
      <c r="B5" s="337" t="s">
        <v>309</v>
      </c>
      <c r="C5" s="1539">
        <v>0</v>
      </c>
    </row>
    <row r="6" spans="2:17" ht="13.5" thickBot="1" x14ac:dyDescent="0.25">
      <c r="B6" s="20" t="s">
        <v>310</v>
      </c>
      <c r="C6" s="1539">
        <v>0</v>
      </c>
    </row>
    <row r="7" spans="2:17" ht="13.5" thickBot="1" x14ac:dyDescent="0.25">
      <c r="B7" s="30" t="s">
        <v>308</v>
      </c>
      <c r="C7" s="699">
        <f>C5+C5*C6/100</f>
        <v>0</v>
      </c>
      <c r="G7" t="s">
        <v>1</v>
      </c>
    </row>
    <row r="8" spans="2:17" x14ac:dyDescent="0.2">
      <c r="B8" s="275" t="s">
        <v>1</v>
      </c>
      <c r="G8" t="s">
        <v>1</v>
      </c>
    </row>
    <row r="9" spans="2:17" ht="13.5" thickBot="1" x14ac:dyDescent="0.25">
      <c r="B9" s="275"/>
    </row>
    <row r="10" spans="2:17" ht="13.5" thickBot="1" x14ac:dyDescent="0.25">
      <c r="B10" s="1674" t="s">
        <v>635</v>
      </c>
      <c r="C10" s="913" t="str">
        <f>C14</f>
        <v>Verkko1</v>
      </c>
      <c r="D10" s="1339" t="str">
        <f t="shared" ref="D10:I10" si="0">D14</f>
        <v>Verkko2</v>
      </c>
      <c r="E10" s="1340" t="str">
        <f t="shared" si="0"/>
        <v>Isorysä1</v>
      </c>
      <c r="F10" s="913" t="str">
        <f t="shared" si="0"/>
        <v>Isorysä2</v>
      </c>
      <c r="G10" s="1341" t="str">
        <f t="shared" si="0"/>
        <v>PU-rysä1</v>
      </c>
      <c r="H10" s="913" t="str">
        <f t="shared" si="0"/>
        <v>PU-rysä2</v>
      </c>
      <c r="I10" s="924" t="str">
        <f t="shared" si="0"/>
        <v>Koko yritys</v>
      </c>
    </row>
    <row r="11" spans="2:17" ht="13.5" thickBot="1" x14ac:dyDescent="0.25">
      <c r="B11" s="1675"/>
      <c r="C11" s="1383">
        <f>IF(C40=0,0,('11. Työtunnit'!C7+'8 Taloudellinen tulos'!E17/'11. Työtunnit'!C40))</f>
        <v>0</v>
      </c>
      <c r="D11" s="1383">
        <f>IF(D40=0,0,(C7+'8 Taloudellinen tulos'!G17/'11. Työtunnit'!D40))</f>
        <v>0</v>
      </c>
      <c r="E11" s="1383">
        <f>IF(E40=0,0,(C7+'8 Taloudellinen tulos'!I17/'11. Työtunnit'!E40))</f>
        <v>0</v>
      </c>
      <c r="F11" s="1383">
        <f>IF(F40=0,0,(C7+'8 Taloudellinen tulos'!K17/'11. Työtunnit'!F40))</f>
        <v>0</v>
      </c>
      <c r="G11" s="1383">
        <f>IF(G40=0,0,(C7+'8 Taloudellinen tulos'!M17/'11. Työtunnit'!G40))</f>
        <v>0</v>
      </c>
      <c r="H11" s="1383">
        <f>IF(H40=0,0,(C7+'8 Taloudellinen tulos'!O17/'11. Työtunnit'!H40))</f>
        <v>0</v>
      </c>
      <c r="I11" s="1384">
        <f>IF(I40=0,0,(C7+'8 Taloudellinen tulos'!C17/'11. Työtunnit'!I40))</f>
        <v>0</v>
      </c>
    </row>
    <row r="12" spans="2:17" ht="13.5" thickBot="1" x14ac:dyDescent="0.25"/>
    <row r="13" spans="2:17" ht="13.5" thickBot="1" x14ac:dyDescent="0.25">
      <c r="B13" s="94" t="s">
        <v>331</v>
      </c>
      <c r="C13" s="1684" t="s">
        <v>281</v>
      </c>
      <c r="D13" s="1685"/>
      <c r="E13" s="1685"/>
      <c r="F13" s="1685"/>
      <c r="G13" s="1685"/>
      <c r="H13" s="1685"/>
      <c r="I13" s="1686"/>
      <c r="K13" t="s">
        <v>1</v>
      </c>
      <c r="M13" s="348" t="s">
        <v>330</v>
      </c>
      <c r="N13" s="354"/>
      <c r="O13" s="333" t="s">
        <v>303</v>
      </c>
      <c r="P13" s="342" t="s">
        <v>301</v>
      </c>
      <c r="Q13" s="6" t="s">
        <v>107</v>
      </c>
    </row>
    <row r="14" spans="2:17" ht="13.5" thickBot="1" x14ac:dyDescent="0.25">
      <c r="B14" s="280"/>
      <c r="C14" s="913" t="str">
        <f>'2.1 Verkkopyynti'!D4</f>
        <v>Verkko1</v>
      </c>
      <c r="D14" s="914" t="str">
        <f>'2.1 Verkkopyynti'!D62</f>
        <v>Verkko2</v>
      </c>
      <c r="E14" s="915" t="str">
        <f>'2.2 Rysäpyynti'!D4</f>
        <v>Isorysä1</v>
      </c>
      <c r="F14" s="913" t="str">
        <f>'2.2 Rysäpyynti'!D105</f>
        <v>Isorysä2</v>
      </c>
      <c r="G14" s="916" t="str">
        <f>'2.2 Rysäpyynti'!K4</f>
        <v>PU-rysä1</v>
      </c>
      <c r="H14" s="913" t="str">
        <f>'2.2 Rysäpyynti'!K105</f>
        <v>PU-rysä2</v>
      </c>
      <c r="I14" s="917" t="s">
        <v>218</v>
      </c>
      <c r="M14" s="1344" t="s">
        <v>593</v>
      </c>
      <c r="N14" s="366"/>
      <c r="O14" s="109" t="s">
        <v>304</v>
      </c>
      <c r="P14" s="345" t="s">
        <v>302</v>
      </c>
      <c r="Q14" s="17"/>
    </row>
    <row r="15" spans="2:17" ht="13.5" thickBot="1" x14ac:dyDescent="0.25">
      <c r="B15" s="333" t="s">
        <v>163</v>
      </c>
      <c r="C15" s="452"/>
      <c r="D15" s="452"/>
      <c r="E15" s="533">
        <f>'2.2 Rysäpyynti'!E23+'2.2 Rysäpyynti'!E33+'2.2 Rysäpyynti'!E26*'2.2 Rysäpyynti'!G6*'2.2 Rysäpyynti'!G26</f>
        <v>0</v>
      </c>
      <c r="F15" s="533">
        <f>'2.2 Rysäpyynti'!E124+'2.2 Rysäpyynti'!E134+'2.2 Rysäpyynti'!E127*'2.2 Rysäpyynti'!G107*'2.2 Rysäpyynti'!G127</f>
        <v>0</v>
      </c>
      <c r="G15" s="533">
        <f>'2.2 Rysäpyynti'!L21+'2.2 Rysäpyynti'!S21</f>
        <v>0</v>
      </c>
      <c r="H15" s="533">
        <f>'2.2 Rysäpyynti'!L122+'2.2 Rysäpyynti'!S122</f>
        <v>0</v>
      </c>
      <c r="I15" s="449">
        <f>SUM(E15:H15)</f>
        <v>0</v>
      </c>
      <c r="M15" s="158" t="s">
        <v>434</v>
      </c>
      <c r="N15" s="4"/>
      <c r="O15" s="1512">
        <v>2.04</v>
      </c>
      <c r="P15" s="1612"/>
      <c r="Q15" s="910">
        <f t="shared" ref="Q15:Q23" si="1">SUM(O15:P15)</f>
        <v>2.04</v>
      </c>
    </row>
    <row r="16" spans="2:17" x14ac:dyDescent="0.2">
      <c r="B16" s="109" t="s">
        <v>162</v>
      </c>
      <c r="C16" s="452">
        <f>'2.1 Verkkopyynti'!E28+'2.1 Verkkopyynti'!E36+'2.1 Verkkopyynti'!E44+'2.1 Verkkopyynti'!L28+'2.1 Verkkopyynti'!L36+'2.1 Verkkopyynti'!L44+'2.1 Verkkopyynti'!S28+'2.1 Verkkopyynti'!S36+'2.1 Verkkopyynti'!S44+'2.1 Verkkopyynti'!Z28+'2.1 Verkkopyynti'!Z36+'2.1 Verkkopyynti'!Z44</f>
        <v>0</v>
      </c>
      <c r="D16" s="452">
        <f>'2.1 Verkkopyynti'!E86+'2.1 Verkkopyynti'!E94+'2.1 Verkkopyynti'!E102+'2.1 Verkkopyynti'!L86+'2.1 Verkkopyynti'!L94+'2.1 Verkkopyynti'!L102+'2.1 Verkkopyynti'!S86+'2.1 Verkkopyynti'!S94+'2.1 Verkkopyynti'!S102+'2.1 Verkkopyynti'!Z86+'2.1 Verkkopyynti'!Z94+'2.1 Verkkopyynti'!Z102</f>
        <v>0</v>
      </c>
      <c r="E16" s="533">
        <f>'2.2 Rysäpyynti'!E75+'2.2 Rysäpyynti'!E83</f>
        <v>0</v>
      </c>
      <c r="F16" s="533">
        <f>'2.2 Rysäpyynti'!E176+'2.2 Rysäpyynti'!E184</f>
        <v>0</v>
      </c>
      <c r="G16" s="533">
        <f>'2.2 Rysäpyynti'!L43+'2.2 Rysäpyynti'!L51+'2.2 Rysäpyynti'!L59+'2.2 Rysäpyynti'!S43+'2.2 Rysäpyynti'!S51+'2.2 Rysäpyynti'!S59</f>
        <v>0</v>
      </c>
      <c r="H16" s="533">
        <f>'2.2 Rysäpyynti'!L144+'2.2 Rysäpyynti'!L152+'2.2 Rysäpyynti'!L160+'2.2 Rysäpyynti'!S144+'2.2 Rysäpyynti'!S152+'2.2 Rysäpyynti'!S160</f>
        <v>0</v>
      </c>
      <c r="I16" s="505">
        <f>SUM(C16:H16)</f>
        <v>0</v>
      </c>
      <c r="M16" s="1203" t="s">
        <v>583</v>
      </c>
      <c r="N16" s="19" t="s">
        <v>299</v>
      </c>
      <c r="O16" s="1496">
        <v>18.25</v>
      </c>
      <c r="P16" s="1498">
        <v>5.15</v>
      </c>
      <c r="Q16" s="587">
        <f t="shared" si="1"/>
        <v>23.4</v>
      </c>
    </row>
    <row r="17" spans="2:18" ht="13.5" thickBot="1" x14ac:dyDescent="0.25">
      <c r="B17" s="413" t="s">
        <v>430</v>
      </c>
      <c r="C17" s="452">
        <f>'2.1 Verkkopyynti'!E49+'2.1 Verkkopyynti'!L49+'2.1 Verkkopyynti'!S49+'2.1 Verkkopyynti'!Z49</f>
        <v>0</v>
      </c>
      <c r="D17" s="452">
        <f>'2.1 Verkkopyynti'!E107+'2.1 Verkkopyynti'!L107+'2.1 Verkkopyynti'!S107+'2.1 Verkkopyynti'!Z107</f>
        <v>0</v>
      </c>
      <c r="E17" s="533">
        <f>'2.2 Rysäpyynti'!E92</f>
        <v>0</v>
      </c>
      <c r="F17" s="533">
        <f>'2.2 Rysäpyynti'!E193</f>
        <v>0</v>
      </c>
      <c r="G17" s="533">
        <f>'2.2 Rysäpyynti'!L64+'2.2 Rysäpyynti'!S64</f>
        <v>0</v>
      </c>
      <c r="H17" s="533">
        <f>'2.2 Rysäpyynti'!L165+'2.2 Rysäpyynti'!S165</f>
        <v>0</v>
      </c>
      <c r="I17" s="505">
        <f>SUM(C17:H17)</f>
        <v>0</v>
      </c>
      <c r="M17" s="7"/>
      <c r="N17" s="14" t="s">
        <v>300</v>
      </c>
      <c r="O17" s="1504">
        <v>16.899999999999999</v>
      </c>
      <c r="P17" s="1506">
        <v>6.5</v>
      </c>
      <c r="Q17" s="697">
        <f t="shared" si="1"/>
        <v>23.4</v>
      </c>
    </row>
    <row r="18" spans="2:18" ht="13.5" thickBot="1" x14ac:dyDescent="0.25">
      <c r="B18" s="109" t="s">
        <v>233</v>
      </c>
      <c r="C18" s="452">
        <f>'5 Kalan alkukäsittely satamassa'!AC8*'3 Saalis'!CJ31+'5 Kalan alkukäsittely satamassa'!AC12*'3 Saalis'!CJ32+'5 Kalan alkukäsittely satamassa'!AC16*'3 Saalis'!CJ33+'5 Kalan alkukäsittely satamassa'!AC17*'3 Saalis'!CJ33+'5 Kalan alkukäsittely satamassa'!AC21*'3 Saalis'!CJ34+'5 Kalan alkukäsittely satamassa'!AC22*'3 Saalis'!CJ34+'5 Kalan alkukäsittely satamassa'!AC26*'3 Saalis'!CJ35+'5 Kalan alkukäsittely satamassa'!AC27*'3 Saalis'!CJ35+'5 Kalan alkukäsittely satamassa'!AC28*'3 Saalis'!CJ35+'5 Kalan alkukäsittely satamassa'!AC29*'3 Saalis'!CJ35+'5 Kalan alkukäsittely satamassa'!AC30*'3 Saalis'!CJ35+'5 Kalan alkukäsittely satamassa'!AC31*'3 Saalis'!CJ35+'5 Kalan alkukäsittely satamassa'!AC32*'3 Saalis'!CJ35+'5 Kalan alkukäsittely satamassa'!AC33*'3 Saalis'!CJ35+'5 Kalan alkukäsittely satamassa'!AC34*'3 Saalis'!CJ35+'5 Kalan alkukäsittely satamassa'!AC38*'3 Saalis'!CJ36+'5 Kalan alkukäsittely satamassa'!AC39*'3 Saalis'!CJ36+'5 Kalan alkukäsittely satamassa'!AC43*'3 Saalis'!CJ37+'5 Kalan alkukäsittely satamassa'!AC44*'3 Saalis'!CJ37+'5 Kalan alkukäsittely satamassa'!AC45*'3 Saalis'!CJ37+'5 Kalan alkukäsittely satamassa'!AC46*'3 Saalis'!CJ37+'5 Kalan alkukäsittely satamassa'!AC50*'3 Saalis'!CJ38+'5 Kalan alkukäsittely satamassa'!AC51*'3 Saalis'!CJ38+'5 Kalan alkukäsittely satamassa'!AC55*'3 Saalis'!CJ39+'5 Kalan alkukäsittely satamassa'!AC56*'3 Saalis'!CJ39+'5 Kalan alkukäsittely satamassa'!AC60*'3 Saalis'!CJ40+'5 Kalan alkukäsittely satamassa'!AC61*'3 Saalis'!CJ40+'5 Kalan alkukäsittely satamassa'!AC65*'3 Saalis'!CJ42+'5 Kalan alkukäsittely satamassa'!AC66*'3 Saalis'!CJ42</f>
        <v>0</v>
      </c>
      <c r="D18" s="452">
        <f>'5 Kalan alkukäsittely satamassa'!AC8*'3 Saalis'!CJ53+'5 Kalan alkukäsittely satamassa'!AC12*'3 Saalis'!CJ54+'5 Kalan alkukäsittely satamassa'!AC16*'3 Saalis'!CJ55+'5 Kalan alkukäsittely satamassa'!AC17*'3 Saalis'!CJ55+'5 Kalan alkukäsittely satamassa'!AC21*'3 Saalis'!CJ56+'5 Kalan alkukäsittely satamassa'!AC22*'3 Saalis'!CJ56+'5 Kalan alkukäsittely satamassa'!AC26*'3 Saalis'!CJ57+'5 Kalan alkukäsittely satamassa'!AC27*'3 Saalis'!CJ57+'5 Kalan alkukäsittely satamassa'!AC28*'3 Saalis'!CJ57+'5 Kalan alkukäsittely satamassa'!AC29*'3 Saalis'!CJ57+'5 Kalan alkukäsittely satamassa'!AC30*'3 Saalis'!CJ57+'5 Kalan alkukäsittely satamassa'!AC31*'3 Saalis'!CJ57+'5 Kalan alkukäsittely satamassa'!AC32*'3 Saalis'!CJ57+'5 Kalan alkukäsittely satamassa'!AC33*'3 Saalis'!CJ57+'5 Kalan alkukäsittely satamassa'!AC34*'3 Saalis'!CJ57+'5 Kalan alkukäsittely satamassa'!AC38*'3 Saalis'!CJ58+'5 Kalan alkukäsittely satamassa'!AC39*'3 Saalis'!CJ58+'5 Kalan alkukäsittely satamassa'!AC43*'3 Saalis'!CJ59+'5 Kalan alkukäsittely satamassa'!AC44*'3 Saalis'!CJ59+'5 Kalan alkukäsittely satamassa'!AC45*'3 Saalis'!CJ59+'5 Kalan alkukäsittely satamassa'!AC46*'3 Saalis'!CJ59+'5 Kalan alkukäsittely satamassa'!AC50*'3 Saalis'!CJ60+'5 Kalan alkukäsittely satamassa'!AC51*'3 Saalis'!CJ60+'5 Kalan alkukäsittely satamassa'!AC55*'3 Saalis'!CJ61+'5 Kalan alkukäsittely satamassa'!AC56*'3 Saalis'!CJ61+'5 Kalan alkukäsittely satamassa'!AC60*'3 Saalis'!CJ62+'5 Kalan alkukäsittely satamassa'!AC61*'3 Saalis'!CJ62+'5 Kalan alkukäsittely satamassa'!AC65*'3 Saalis'!CJ64+'5 Kalan alkukäsittely satamassa'!AC66*'3 Saalis'!CJ64</f>
        <v>0</v>
      </c>
      <c r="E18" s="533">
        <f>'5 Kalan alkukäsittely satamassa'!AC8*'3 Saalis'!CJ75+'5 Kalan alkukäsittely satamassa'!AC12*'3 Saalis'!CJ76+'5 Kalan alkukäsittely satamassa'!AC16*'3 Saalis'!CJ77+'5 Kalan alkukäsittely satamassa'!AC17*'3 Saalis'!CJ77+'5 Kalan alkukäsittely satamassa'!AC21*'3 Saalis'!CJ78+'5 Kalan alkukäsittely satamassa'!AC22*'3 Saalis'!CJ78+'5 Kalan alkukäsittely satamassa'!AC26*'3 Saalis'!CJ79+'5 Kalan alkukäsittely satamassa'!AC27*'3 Saalis'!CJ79+'5 Kalan alkukäsittely satamassa'!AC28*'3 Saalis'!CJ79+'5 Kalan alkukäsittely satamassa'!AC29*'3 Saalis'!CJ79+'5 Kalan alkukäsittely satamassa'!AC30*'3 Saalis'!CJ79+'5 Kalan alkukäsittely satamassa'!AC31*'3 Saalis'!CJ79+'5 Kalan alkukäsittely satamassa'!AC32*'3 Saalis'!CJ79+'5 Kalan alkukäsittely satamassa'!AC33*'3 Saalis'!CJ79+'5 Kalan alkukäsittely satamassa'!AC34*'3 Saalis'!CJ79+'5 Kalan alkukäsittely satamassa'!AC38*'3 Saalis'!CJ80+'5 Kalan alkukäsittely satamassa'!AC39*'3 Saalis'!CJ80+'5 Kalan alkukäsittely satamassa'!AC43*'3 Saalis'!CJ81+'5 Kalan alkukäsittely satamassa'!AC44*'3 Saalis'!CJ81+'5 Kalan alkukäsittely satamassa'!AC45*'3 Saalis'!CJ81+'5 Kalan alkukäsittely satamassa'!AC46*'3 Saalis'!CJ81+'5 Kalan alkukäsittely satamassa'!AC50*'3 Saalis'!CJ82+'5 Kalan alkukäsittely satamassa'!AC51*'3 Saalis'!CJ82+'5 Kalan alkukäsittely satamassa'!AC55*'3 Saalis'!CJ83+'5 Kalan alkukäsittely satamassa'!AC56*'3 Saalis'!CJ83+'5 Kalan alkukäsittely satamassa'!AC60*'3 Saalis'!CJ84+'5 Kalan alkukäsittely satamassa'!AC61*'3 Saalis'!CJ84+'5 Kalan alkukäsittely satamassa'!AC65*'3 Saalis'!CJ86+'5 Kalan alkukäsittely satamassa'!AC66*'3 Saalis'!CJ86</f>
        <v>0</v>
      </c>
      <c r="F18" s="533">
        <f>'5 Kalan alkukäsittely satamassa'!AC8*'3 Saalis'!CJ97+'5 Kalan alkukäsittely satamassa'!AC12*'3 Saalis'!CJ98+'5 Kalan alkukäsittely satamassa'!AC16*'3 Saalis'!CJ99+'5 Kalan alkukäsittely satamassa'!AC17*'3 Saalis'!CJ99+'5 Kalan alkukäsittely satamassa'!AC21*'3 Saalis'!CJ100+'5 Kalan alkukäsittely satamassa'!AC22*'3 Saalis'!CJ100+'5 Kalan alkukäsittely satamassa'!AC26*'3 Saalis'!CJ101+'5 Kalan alkukäsittely satamassa'!AC27*'3 Saalis'!CJ101+'5 Kalan alkukäsittely satamassa'!AC28*'3 Saalis'!CJ101+'5 Kalan alkukäsittely satamassa'!AC29*'3 Saalis'!CJ101+'5 Kalan alkukäsittely satamassa'!AC30*'3 Saalis'!CJ101+'5 Kalan alkukäsittely satamassa'!AC31*'3 Saalis'!CJ101+'5 Kalan alkukäsittely satamassa'!AC32*'3 Saalis'!CJ101+'5 Kalan alkukäsittely satamassa'!AC33*'3 Saalis'!CJ101+'5 Kalan alkukäsittely satamassa'!AC34*'3 Saalis'!CJ101+'5 Kalan alkukäsittely satamassa'!AC38*'3 Saalis'!CJ102+'5 Kalan alkukäsittely satamassa'!AC39*'3 Saalis'!CJ102+'5 Kalan alkukäsittely satamassa'!AC43*'3 Saalis'!CJ103+'5 Kalan alkukäsittely satamassa'!AC44*'3 Saalis'!CJ103+'5 Kalan alkukäsittely satamassa'!AC45*'3 Saalis'!CJ103+'5 Kalan alkukäsittely satamassa'!AC46*'3 Saalis'!CJ103+'5 Kalan alkukäsittely satamassa'!AC50*'3 Saalis'!CJ104+'5 Kalan alkukäsittely satamassa'!AC51*'3 Saalis'!CJ104+'5 Kalan alkukäsittely satamassa'!AC55*'3 Saalis'!CJ105+'5 Kalan alkukäsittely satamassa'!AC56*'3 Saalis'!CJ105+'5 Kalan alkukäsittely satamassa'!AC60*'3 Saalis'!CJ106+'5 Kalan alkukäsittely satamassa'!AC61*'3 Saalis'!CJ106+'5 Kalan alkukäsittely satamassa'!AC65*'3 Saalis'!CJ108+'5 Kalan alkukäsittely satamassa'!AC66*'3 Saalis'!CJ108</f>
        <v>0</v>
      </c>
      <c r="G18" s="533">
        <f>'5 Kalan alkukäsittely satamassa'!AC8*'3 Saalis'!CJ119+'5 Kalan alkukäsittely satamassa'!AC12*'3 Saalis'!CJ120+'5 Kalan alkukäsittely satamassa'!AC16*'3 Saalis'!CJ121+'5 Kalan alkukäsittely satamassa'!AC17*'3 Saalis'!CJ121+'5 Kalan alkukäsittely satamassa'!AC21*'3 Saalis'!CJ122+'5 Kalan alkukäsittely satamassa'!AC22*'3 Saalis'!CJ122+'5 Kalan alkukäsittely satamassa'!AC26*'3 Saalis'!CJ123+'5 Kalan alkukäsittely satamassa'!AC27*'3 Saalis'!CJ123+'5 Kalan alkukäsittely satamassa'!AC28*'3 Saalis'!CJ123+'5 Kalan alkukäsittely satamassa'!AC29*'3 Saalis'!CJ123+'5 Kalan alkukäsittely satamassa'!AC30*'3 Saalis'!CJ123+'5 Kalan alkukäsittely satamassa'!AC31*'3 Saalis'!CJ123+'5 Kalan alkukäsittely satamassa'!AC32*'3 Saalis'!CJ123+'5 Kalan alkukäsittely satamassa'!AC33*'3 Saalis'!CJ123+'5 Kalan alkukäsittely satamassa'!AC34*'3 Saalis'!CJ123+'5 Kalan alkukäsittely satamassa'!AC38*'3 Saalis'!CJ124+'5 Kalan alkukäsittely satamassa'!AC39*'3 Saalis'!CJ124+'5 Kalan alkukäsittely satamassa'!AC43*'3 Saalis'!CJ125+'5 Kalan alkukäsittely satamassa'!AC44*'3 Saalis'!CJ125+'5 Kalan alkukäsittely satamassa'!AC45*'3 Saalis'!CJ125+'5 Kalan alkukäsittely satamassa'!AC46*'3 Saalis'!CJ125+'5 Kalan alkukäsittely satamassa'!AC50*'3 Saalis'!CJ126+'5 Kalan alkukäsittely satamassa'!AC51*'3 Saalis'!CJ126+'5 Kalan alkukäsittely satamassa'!AC55*'3 Saalis'!CJ127+'5 Kalan alkukäsittely satamassa'!AC56*'3 Saalis'!CJ127+'5 Kalan alkukäsittely satamassa'!AC60*'3 Saalis'!CJ128+'5 Kalan alkukäsittely satamassa'!AC61*'3 Saalis'!CJ128+'5 Kalan alkukäsittely satamassa'!AC65*'3 Saalis'!CJ130+'5 Kalan alkukäsittely satamassa'!AC66*'3 Saalis'!CJ130</f>
        <v>0</v>
      </c>
      <c r="H18" s="533">
        <f>'5 Kalan alkukäsittely satamassa'!AC8*'3 Saalis'!CJ141+'5 Kalan alkukäsittely satamassa'!AC12*'3 Saalis'!CJ142+'5 Kalan alkukäsittely satamassa'!AC16*'3 Saalis'!CJ143+'5 Kalan alkukäsittely satamassa'!AC17*'3 Saalis'!CJ143+'5 Kalan alkukäsittely satamassa'!AC21*'3 Saalis'!CJ144+'5 Kalan alkukäsittely satamassa'!AC22*'3 Saalis'!CJ144+'5 Kalan alkukäsittely satamassa'!AC26*'3 Saalis'!CJ145+'5 Kalan alkukäsittely satamassa'!AC27*'3 Saalis'!CJ145+'5 Kalan alkukäsittely satamassa'!AC28*'3 Saalis'!CJ145+'5 Kalan alkukäsittely satamassa'!AC29*'3 Saalis'!CJ145+'5 Kalan alkukäsittely satamassa'!AC30*'3 Saalis'!CJ145+'5 Kalan alkukäsittely satamassa'!AC31*'3 Saalis'!CJ145+'5 Kalan alkukäsittely satamassa'!AC32*'3 Saalis'!CJ145+'5 Kalan alkukäsittely satamassa'!AC33*'3 Saalis'!CJ145+'5 Kalan alkukäsittely satamassa'!AC34*'3 Saalis'!CJ145+'5 Kalan alkukäsittely satamassa'!AC38*'3 Saalis'!CJ146+'5 Kalan alkukäsittely satamassa'!AC39*'3 Saalis'!CJ146+'5 Kalan alkukäsittely satamassa'!AC43*'3 Saalis'!CJ147+'5 Kalan alkukäsittely satamassa'!AC44*'3 Saalis'!CJ147+'5 Kalan alkukäsittely satamassa'!AC45*'3 Saalis'!CJ147+'5 Kalan alkukäsittely satamassa'!AC46*'3 Saalis'!CJ147+'5 Kalan alkukäsittely satamassa'!AC50*'3 Saalis'!CJ148+'5 Kalan alkukäsittely satamassa'!AC51*'3 Saalis'!CJ148+'5 Kalan alkukäsittely satamassa'!AC55*'3 Saalis'!CJ149+'5 Kalan alkukäsittely satamassa'!AC56*'3 Saalis'!CJ149+'5 Kalan alkukäsittely satamassa'!AC60*'3 Saalis'!CJ150+'5 Kalan alkukäsittely satamassa'!AC61*'3 Saalis'!CJ150+'5 Kalan alkukäsittely satamassa'!AC65*'3 Saalis'!CJ152+'5 Kalan alkukäsittely satamassa'!AC66*'3 Saalis'!CJ152</f>
        <v>0</v>
      </c>
      <c r="I18" s="505">
        <f>SUM(C18:H18)</f>
        <v>0</v>
      </c>
      <c r="M18" s="200" t="s">
        <v>305</v>
      </c>
      <c r="N18" s="18"/>
      <c r="O18" s="1512">
        <v>0.8</v>
      </c>
      <c r="P18" s="1515">
        <v>0.6</v>
      </c>
      <c r="Q18" s="1351">
        <f t="shared" si="1"/>
        <v>1.4</v>
      </c>
    </row>
    <row r="19" spans="2:18" ht="13.5" thickBot="1" x14ac:dyDescent="0.25">
      <c r="B19" s="109" t="s">
        <v>582</v>
      </c>
      <c r="C19" s="452">
        <f>(IF('2.1 Verkkopyynti'!G6=0,0,'2.1 Verkkopyynti'!E55*'2.1 Verkkopyynti'!G55*'2.1 Verkkopyynti'!E56))+(IF('2.1 Verkkopyynti'!N6=0,0,'2.1 Verkkopyynti'!L55*'2.1 Verkkopyynti'!N55*'2.1 Verkkopyynti'!L56))+(IF('2.1 Verkkopyynti'!U6=0,0,'2.1 Verkkopyynti'!S55*'2.1 Verkkopyynti'!U55*'2.1 Verkkopyynti'!S56))+(IF('2.1 Verkkopyynti'!AB6=0,0,'2.1 Verkkopyynti'!Z55*'2.1 Verkkopyynti'!AB55*'2.1 Verkkopyynti'!Z56))</f>
        <v>0</v>
      </c>
      <c r="D19" s="452">
        <f>(IF('2.1 Verkkopyynti'!G64=0,0,'2.1 Verkkopyynti'!E113*'2.1 Verkkopyynti'!G113*'2.1 Verkkopyynti'!E114))+(IF('2.1 Verkkopyynti'!N64=0,0,'2.1 Verkkopyynti'!L113*'2.1 Verkkopyynti'!N113*'2.1 Verkkopyynti'!L114))+(IF('2.1 Verkkopyynti'!U64=0,0,'2.1 Verkkopyynti'!S113*'2.1 Verkkopyynti'!U113*'2.1 Verkkopyynti'!S114))+(IF('2.1 Verkkopyynti'!AB64=0,0,'2.1 Verkkopyynti'!Z113*'2.1 Verkkopyynti'!AB113*'2.1 Verkkopyynti'!Z114))</f>
        <v>0</v>
      </c>
      <c r="E19" s="533">
        <f>IF('2.2 Rysäpyynti'!G6=0,0,'2.2 Rysäpyynti'!E98*'2.2 Rysäpyynti'!G98*'2.2 Rysäpyynti'!E99)</f>
        <v>0</v>
      </c>
      <c r="F19" s="533">
        <f>IF('2.2 Rysäpyynti'!G107=0,0,'2.2 Rysäpyynti'!E199*'2.2 Rysäpyynti'!G199*'2.2 Rysäpyynti'!E200)</f>
        <v>0</v>
      </c>
      <c r="G19" s="533">
        <f>(IF('2.2 Rysäpyynti'!N6=0,0,'2.2 Rysäpyynti'!L70*'2.2 Rysäpyynti'!N70*'2.2 Rysäpyynti'!L71))+(IF('2.2 Rysäpyynti'!U6=0,0,'2.2 Rysäpyynti'!S70*'2.2 Rysäpyynti'!U70*'2.2 Rysäpyynti'!S71))</f>
        <v>0</v>
      </c>
      <c r="H19" s="533">
        <f>(IF('2.2 Rysäpyynti'!N107=0,0,'2.2 Rysäpyynti'!L171*'2.2 Rysäpyynti'!N171*'2.2 Rysäpyynti'!L172))+(IF('2.2 Rysäpyynti'!U107=0,0,'2.2 Rysäpyynti'!S171*'2.2 Rysäpyynti'!U171*'2.2 Rysäpyynti'!S172))</f>
        <v>0</v>
      </c>
      <c r="I19" s="505">
        <f>SUM(C19:H19)</f>
        <v>0</v>
      </c>
      <c r="M19" s="158" t="s">
        <v>307</v>
      </c>
      <c r="N19" s="1357" t="s">
        <v>589</v>
      </c>
      <c r="O19" s="1613">
        <v>0.3</v>
      </c>
      <c r="P19" s="1601"/>
      <c r="Q19" s="587">
        <f t="shared" si="1"/>
        <v>0.3</v>
      </c>
    </row>
    <row r="20" spans="2:18" ht="13.5" thickBot="1" x14ac:dyDescent="0.25">
      <c r="B20" s="109" t="s">
        <v>164</v>
      </c>
      <c r="C20" s="540"/>
      <c r="D20" s="540"/>
      <c r="E20" s="536">
        <f>'2.2 Rysäpyynti'!E45+'2.2 Rysäpyynti'!E50+'2.2 Rysäpyynti'!E54*'2.2 Rysäpyynti'!G6*'2.2 Rysäpyynti'!G54</f>
        <v>0</v>
      </c>
      <c r="F20" s="536">
        <f>'2.2 Rysäpyynti'!E146+'2.2 Rysäpyynti'!E151+'2.2 Rysäpyynti'!E155*'2.2 Rysäpyynti'!G107*'2.2 Rysäpyynti'!G155</f>
        <v>0</v>
      </c>
      <c r="G20" s="536">
        <f>'2.2 Rysäpyynti'!L28+'2.2 Rysäpyynti'!S28</f>
        <v>0</v>
      </c>
      <c r="H20" s="536">
        <f>'2.2 Rysäpyynti'!L129+'2.2 Rysäpyynti'!S129</f>
        <v>0</v>
      </c>
      <c r="I20" s="550">
        <f>SUM(E20:H20)</f>
        <v>0</v>
      </c>
      <c r="M20" s="3"/>
      <c r="N20" s="1358" t="s">
        <v>590</v>
      </c>
      <c r="O20" s="1614">
        <v>8</v>
      </c>
      <c r="P20" s="1498"/>
      <c r="Q20" s="577">
        <f t="shared" si="1"/>
        <v>8</v>
      </c>
    </row>
    <row r="21" spans="2:18" ht="13.5" thickBot="1" x14ac:dyDescent="0.25">
      <c r="B21" s="333" t="s">
        <v>333</v>
      </c>
      <c r="C21" s="544">
        <f>IF('3 Saalis'!U69=0,0,('7 Kiinteät kustannukset'!D85+'7 Kiinteät kustannukset'!D86+'7 Kiinteät kustannukset'!D87+'7 Kiinteät kustannukset'!C85*'7 Kiinteät kustannukset'!M4+'7 Kiinteät kustannukset'!C86*'7 Kiinteät kustannukset'!M4+'7 Kiinteät kustannukset'!C87*'7 Kiinteät kustannukset'!M4))</f>
        <v>0</v>
      </c>
      <c r="D21" s="544">
        <f>IF('3 Saalis'!U91=0,0,('7 Kiinteät kustannukset'!E85+'7 Kiinteät kustannukset'!E86+'7 Kiinteät kustannukset'!E87+'7 Kiinteät kustannukset'!C85*'7 Kiinteät kustannukset'!N4+'7 Kiinteät kustannukset'!C86*'7 Kiinteät kustannukset'!N4+'7 Kiinteät kustannukset'!C87*'7 Kiinteät kustannukset'!N4))</f>
        <v>0</v>
      </c>
      <c r="E21" s="519">
        <f>IF('3 Saalis'!U113=0,0,('7 Kiinteät kustannukset'!F85+'7 Kiinteät kustannukset'!F86+'7 Kiinteät kustannukset'!F87+'7 Kiinteät kustannukset'!C85*'7 Kiinteät kustannukset'!O4+'7 Kiinteät kustannukset'!C86*'7 Kiinteät kustannukset'!O4+'7 Kiinteät kustannukset'!C87*'7 Kiinteät kustannukset'!O4))</f>
        <v>0</v>
      </c>
      <c r="F21" s="519">
        <f>IF('3 Saalis'!U135=0,0,('7 Kiinteät kustannukset'!G85+'7 Kiinteät kustannukset'!G86+'7 Kiinteät kustannukset'!G87+'7 Kiinteät kustannukset'!C85*'7 Kiinteät kustannukset'!P4+'7 Kiinteät kustannukset'!C86*'7 Kiinteät kustannukset'!P4+'7 Kiinteät kustannukset'!C87*'7 Kiinteät kustannukset'!P4))</f>
        <v>0</v>
      </c>
      <c r="G21" s="519">
        <f>IF('3 Saalis'!U157=0,0,('7 Kiinteät kustannukset'!H85+'7 Kiinteät kustannukset'!H86+'7 Kiinteät kustannukset'!H87+'7 Kiinteät kustannukset'!C85*'7 Kiinteät kustannukset'!Q4+'7 Kiinteät kustannukset'!C86*'7 Kiinteät kustannukset'!Q4+'7 Kiinteät kustannukset'!C87*'7 Kiinteät kustannukset'!Q4))</f>
        <v>0</v>
      </c>
      <c r="H21" s="519">
        <f>IF('3 Saalis'!U179=0,0,('7 Kiinteät kustannukset'!I85+'7 Kiinteät kustannukset'!I86+'7 Kiinteät kustannukset'!I87+'7 Kiinteät kustannukset'!C85*'7 Kiinteät kustannukset'!R4+'7 Kiinteät kustannukset'!C86*'7 Kiinteät kustannukset'!R4+'7 Kiinteät kustannukset'!C87*'7 Kiinteät kustannukset'!R4))</f>
        <v>0</v>
      </c>
      <c r="I21" s="449">
        <f>SUM(C21:H21)</f>
        <v>0</v>
      </c>
      <c r="M21" s="7" t="s">
        <v>306</v>
      </c>
      <c r="N21" s="17"/>
      <c r="O21" s="1615">
        <v>7.0000000000000007E-2</v>
      </c>
      <c r="P21" s="1616"/>
      <c r="Q21" s="697">
        <f t="shared" si="1"/>
        <v>7.0000000000000007E-2</v>
      </c>
    </row>
    <row r="22" spans="2:18" ht="13.5" thickBot="1" x14ac:dyDescent="0.25">
      <c r="B22" s="187" t="s">
        <v>264</v>
      </c>
      <c r="C22" s="502">
        <f>IF('3 Saalis'!U69=0,0,('7 Kiinteät kustannukset'!D89+'7 Kiinteät kustannukset'!C89*'7 Kiinteät kustannukset'!M4))</f>
        <v>0</v>
      </c>
      <c r="D22" s="502">
        <f>IF('3 Saalis'!U91=0,0,('7 Kiinteät kustannukset'!E89+'7 Kiinteät kustannukset'!C89*'7 Kiinteät kustannukset'!N4))</f>
        <v>0</v>
      </c>
      <c r="E22" s="548">
        <f>IF('3 Saalis'!U113=0,0,('7 Kiinteät kustannukset'!F89+'7 Kiinteät kustannukset'!C89*'7 Kiinteät kustannukset'!O4))</f>
        <v>0</v>
      </c>
      <c r="F22" s="548">
        <f>IF('3 Saalis'!U135=0,0,('7 Kiinteät kustannukset'!G89+'7 Kiinteät kustannukset'!C89*'7 Kiinteät kustannukset'!P4))</f>
        <v>0</v>
      </c>
      <c r="G22" s="548">
        <f>IF('3 Saalis'!U157=0,0,('7 Kiinteät kustannukset'!H89+'7 Kiinteät kustannukset'!C89*'7 Kiinteät kustannukset'!Q4))</f>
        <v>0</v>
      </c>
      <c r="H22" s="548">
        <f>IF('3 Saalis'!U179=0,0,('7 Kiinteät kustannukset'!I89+'7 Kiinteät kustannukset'!C89*'7 Kiinteät kustannukset'!R4))</f>
        <v>0</v>
      </c>
      <c r="I22" s="417">
        <f>SUM(C22:H22)</f>
        <v>0</v>
      </c>
      <c r="M22" s="158" t="s">
        <v>327</v>
      </c>
      <c r="N22" s="19" t="s">
        <v>328</v>
      </c>
      <c r="O22" s="1519">
        <v>5</v>
      </c>
      <c r="P22" s="1617"/>
      <c r="Q22" s="587">
        <f t="shared" si="1"/>
        <v>5</v>
      </c>
    </row>
    <row r="23" spans="2:18" ht="13.5" thickBot="1" x14ac:dyDescent="0.25">
      <c r="B23" s="351" t="s">
        <v>107</v>
      </c>
      <c r="C23" s="644">
        <f t="shared" ref="C23:H23" si="2">SUM(C15:C22)</f>
        <v>0</v>
      </c>
      <c r="D23" s="911">
        <f>SUM(D15:D22)</f>
        <v>0</v>
      </c>
      <c r="E23" s="642">
        <f t="shared" si="2"/>
        <v>0</v>
      </c>
      <c r="F23" s="641">
        <f t="shared" si="2"/>
        <v>0</v>
      </c>
      <c r="G23" s="644">
        <f t="shared" si="2"/>
        <v>0</v>
      </c>
      <c r="H23" s="912">
        <f t="shared" si="2"/>
        <v>0</v>
      </c>
      <c r="I23" s="644">
        <f>SUM(I15:I22)</f>
        <v>0</v>
      </c>
      <c r="M23" s="3"/>
      <c r="N23" s="4" t="s">
        <v>329</v>
      </c>
      <c r="O23" s="1501">
        <v>7</v>
      </c>
      <c r="P23" s="1503"/>
      <c r="Q23" s="701">
        <f t="shared" si="1"/>
        <v>7</v>
      </c>
    </row>
    <row r="24" spans="2:18" ht="13.5" customHeight="1" thickBot="1" x14ac:dyDescent="0.25">
      <c r="C24" s="27"/>
      <c r="D24" s="27"/>
      <c r="E24" s="27"/>
      <c r="F24" s="27"/>
      <c r="M24" s="92" t="s">
        <v>435</v>
      </c>
      <c r="N24" s="14"/>
      <c r="O24" s="1504"/>
      <c r="P24" s="1616"/>
      <c r="Q24" s="697"/>
      <c r="R24" t="s">
        <v>1</v>
      </c>
    </row>
    <row r="25" spans="2:18" ht="13.5" customHeight="1" thickBot="1" x14ac:dyDescent="0.25">
      <c r="B25" s="94" t="s">
        <v>632</v>
      </c>
      <c r="C25" s="1684" t="s">
        <v>633</v>
      </c>
      <c r="D25" s="1685"/>
      <c r="E25" s="1685"/>
      <c r="F25" s="1685"/>
      <c r="G25" s="1685"/>
      <c r="H25" s="1685"/>
      <c r="I25" s="1685"/>
      <c r="J25" s="924"/>
      <c r="M25" s="1350" t="s">
        <v>591</v>
      </c>
      <c r="N25" s="1360" t="s">
        <v>592</v>
      </c>
      <c r="O25" s="1352">
        <f>O15+O17+O18+O19+O21+O22</f>
        <v>25.11</v>
      </c>
      <c r="P25" s="1687" t="s">
        <v>587</v>
      </c>
      <c r="Q25" s="1688"/>
    </row>
    <row r="26" spans="2:18" ht="13.5" customHeight="1" thickBot="1" x14ac:dyDescent="0.25">
      <c r="B26" s="280"/>
      <c r="C26" s="925" t="str">
        <f t="shared" ref="C26:H26" si="3">C14</f>
        <v>Verkko1</v>
      </c>
      <c r="D26" s="914" t="str">
        <f t="shared" si="3"/>
        <v>Verkko2</v>
      </c>
      <c r="E26" s="915" t="str">
        <f t="shared" si="3"/>
        <v>Isorysä1</v>
      </c>
      <c r="F26" s="925" t="str">
        <f t="shared" si="3"/>
        <v>Isorysä2</v>
      </c>
      <c r="G26" s="916" t="str">
        <f t="shared" si="3"/>
        <v>PU-rysä1</v>
      </c>
      <c r="H26" s="926" t="str">
        <f t="shared" si="3"/>
        <v>PU-rysä2</v>
      </c>
      <c r="I26" s="926" t="s">
        <v>218</v>
      </c>
      <c r="J26" s="927" t="s">
        <v>215</v>
      </c>
      <c r="M26" s="1691" t="s">
        <v>596</v>
      </c>
      <c r="N26" s="1692"/>
      <c r="O26" s="1359">
        <f>O15+O16+O18+O20+O21+O23</f>
        <v>36.159999999999997</v>
      </c>
      <c r="P26" s="1689"/>
      <c r="Q26" s="1690"/>
    </row>
    <row r="27" spans="2:18" ht="12.75" customHeight="1" x14ac:dyDescent="0.2">
      <c r="B27" s="333" t="s">
        <v>163</v>
      </c>
      <c r="C27" s="452"/>
      <c r="D27" s="452"/>
      <c r="E27" s="533">
        <f t="shared" ref="E27:I34" si="4">E15*$C$7</f>
        <v>0</v>
      </c>
      <c r="F27" s="533">
        <f t="shared" si="4"/>
        <v>0</v>
      </c>
      <c r="G27" s="533">
        <f t="shared" si="4"/>
        <v>0</v>
      </c>
      <c r="H27" s="533">
        <f t="shared" si="4"/>
        <v>0</v>
      </c>
      <c r="I27" s="452">
        <f>I15*$C$7</f>
        <v>0</v>
      </c>
      <c r="J27" s="929">
        <f>IF(I27=0,0,I27/$I$35)</f>
        <v>0</v>
      </c>
    </row>
    <row r="28" spans="2:18" ht="13.5" thickBot="1" x14ac:dyDescent="0.25">
      <c r="B28" s="109" t="s">
        <v>162</v>
      </c>
      <c r="C28" s="452">
        <f>C16*$C$7</f>
        <v>0</v>
      </c>
      <c r="D28" s="452">
        <f>D16*$C$7</f>
        <v>0</v>
      </c>
      <c r="E28" s="533">
        <f t="shared" si="4"/>
        <v>0</v>
      </c>
      <c r="F28" s="533">
        <f t="shared" si="4"/>
        <v>0</v>
      </c>
      <c r="G28" s="533">
        <f t="shared" si="4"/>
        <v>0</v>
      </c>
      <c r="H28" s="533">
        <f t="shared" si="4"/>
        <v>0</v>
      </c>
      <c r="I28" s="452">
        <f>I16*$C$7</f>
        <v>0</v>
      </c>
      <c r="J28" s="930">
        <f t="shared" ref="J28:J35" si="5">IF(I28=0,0,I28/$I$35)</f>
        <v>0</v>
      </c>
    </row>
    <row r="29" spans="2:18" ht="13.5" thickBot="1" x14ac:dyDescent="0.25">
      <c r="B29" s="413" t="s">
        <v>430</v>
      </c>
      <c r="C29" s="452">
        <f t="shared" ref="C29:D31" si="6">C17*$C$7</f>
        <v>0</v>
      </c>
      <c r="D29" s="452">
        <f t="shared" si="6"/>
        <v>0</v>
      </c>
      <c r="E29" s="533">
        <f t="shared" si="4"/>
        <v>0</v>
      </c>
      <c r="F29" s="533">
        <f t="shared" si="4"/>
        <v>0</v>
      </c>
      <c r="G29" s="533">
        <f t="shared" si="4"/>
        <v>0</v>
      </c>
      <c r="H29" s="533">
        <f t="shared" si="4"/>
        <v>0</v>
      </c>
      <c r="I29" s="452">
        <f>I17*$C$7</f>
        <v>0</v>
      </c>
      <c r="J29" s="930">
        <f t="shared" si="5"/>
        <v>0</v>
      </c>
      <c r="M29" s="1680" t="s">
        <v>594</v>
      </c>
      <c r="N29" s="1681"/>
      <c r="O29" s="333" t="s">
        <v>585</v>
      </c>
      <c r="P29" s="342" t="s">
        <v>586</v>
      </c>
    </row>
    <row r="30" spans="2:18" ht="13.5" thickBot="1" x14ac:dyDescent="0.25">
      <c r="B30" s="109" t="s">
        <v>233</v>
      </c>
      <c r="C30" s="452">
        <f t="shared" si="6"/>
        <v>0</v>
      </c>
      <c r="D30" s="452">
        <f>D18*$C$7</f>
        <v>0</v>
      </c>
      <c r="E30" s="533">
        <f t="shared" si="4"/>
        <v>0</v>
      </c>
      <c r="F30" s="533">
        <f t="shared" si="4"/>
        <v>0</v>
      </c>
      <c r="G30" s="533">
        <f t="shared" si="4"/>
        <v>0</v>
      </c>
      <c r="H30" s="533">
        <f t="shared" si="4"/>
        <v>0</v>
      </c>
      <c r="I30" s="452">
        <f t="shared" si="4"/>
        <v>0</v>
      </c>
      <c r="J30" s="930">
        <f t="shared" si="5"/>
        <v>0</v>
      </c>
      <c r="M30" s="1353"/>
      <c r="N30" s="1354"/>
      <c r="O30" s="1512"/>
      <c r="P30" s="1515"/>
    </row>
    <row r="31" spans="2:18" x14ac:dyDescent="0.2">
      <c r="B31" s="109" t="s">
        <v>582</v>
      </c>
      <c r="C31" s="452">
        <f t="shared" si="6"/>
        <v>0</v>
      </c>
      <c r="D31" s="452">
        <f>D19*$C$7</f>
        <v>0</v>
      </c>
      <c r="E31" s="533">
        <f t="shared" si="4"/>
        <v>0</v>
      </c>
      <c r="F31" s="533">
        <f t="shared" si="4"/>
        <v>0</v>
      </c>
      <c r="G31" s="533">
        <f>G19*$C$7</f>
        <v>0</v>
      </c>
      <c r="H31" s="533">
        <f>H19*$C$7</f>
        <v>0</v>
      </c>
      <c r="I31" s="452">
        <f>I19*$C$7</f>
        <v>0</v>
      </c>
      <c r="J31" s="930">
        <f t="shared" si="5"/>
        <v>0</v>
      </c>
      <c r="M31" s="1367" t="s">
        <v>602</v>
      </c>
      <c r="N31" s="1346"/>
      <c r="O31" s="1496">
        <v>12.15</v>
      </c>
      <c r="P31" s="1498">
        <v>12.879</v>
      </c>
    </row>
    <row r="32" spans="2:18" ht="15" customHeight="1" thickBot="1" x14ac:dyDescent="0.25">
      <c r="B32" s="109" t="s">
        <v>164</v>
      </c>
      <c r="C32" s="540"/>
      <c r="D32" s="540"/>
      <c r="E32" s="536">
        <f t="shared" si="4"/>
        <v>0</v>
      </c>
      <c r="F32" s="536">
        <f t="shared" si="4"/>
        <v>0</v>
      </c>
      <c r="G32" s="536">
        <f t="shared" si="4"/>
        <v>0</v>
      </c>
      <c r="H32" s="536">
        <f t="shared" si="4"/>
        <v>0</v>
      </c>
      <c r="I32" s="540">
        <f t="shared" si="4"/>
        <v>0</v>
      </c>
      <c r="J32" s="931">
        <f t="shared" si="5"/>
        <v>0</v>
      </c>
      <c r="M32" s="1347" t="s">
        <v>600</v>
      </c>
      <c r="N32" s="1348"/>
      <c r="O32" s="1678" t="s">
        <v>584</v>
      </c>
      <c r="P32" s="1679"/>
    </row>
    <row r="33" spans="2:17" ht="13.5" thickBot="1" x14ac:dyDescent="0.25">
      <c r="B33" s="333" t="s">
        <v>333</v>
      </c>
      <c r="C33" s="544">
        <f>C21*$C$7</f>
        <v>0</v>
      </c>
      <c r="D33" s="544">
        <f>D21*$C$7</f>
        <v>0</v>
      </c>
      <c r="E33" s="519">
        <f t="shared" si="4"/>
        <v>0</v>
      </c>
      <c r="F33" s="519">
        <f t="shared" si="4"/>
        <v>0</v>
      </c>
      <c r="G33" s="519">
        <f t="shared" si="4"/>
        <v>0</v>
      </c>
      <c r="H33" s="519">
        <f t="shared" si="4"/>
        <v>0</v>
      </c>
      <c r="I33" s="544">
        <f t="shared" si="4"/>
        <v>0</v>
      </c>
      <c r="J33" s="929">
        <f t="shared" si="5"/>
        <v>0</v>
      </c>
      <c r="M33" s="1349" t="s">
        <v>603</v>
      </c>
      <c r="N33" s="1345"/>
      <c r="O33" s="1508">
        <v>22.5</v>
      </c>
      <c r="P33" s="1510">
        <v>23.85</v>
      </c>
    </row>
    <row r="34" spans="2:17" ht="13.5" customHeight="1" thickBot="1" x14ac:dyDescent="0.25">
      <c r="B34" s="187" t="s">
        <v>264</v>
      </c>
      <c r="C34" s="502">
        <f>C22*$C$7</f>
        <v>0</v>
      </c>
      <c r="D34" s="502">
        <f>D22*$C$7</f>
        <v>0</v>
      </c>
      <c r="E34" s="548">
        <f t="shared" si="4"/>
        <v>0</v>
      </c>
      <c r="F34" s="548">
        <f t="shared" si="4"/>
        <v>0</v>
      </c>
      <c r="G34" s="548">
        <f t="shared" si="4"/>
        <v>0</v>
      </c>
      <c r="H34" s="548">
        <f t="shared" si="4"/>
        <v>0</v>
      </c>
      <c r="I34" s="502">
        <f>I22*$C$7</f>
        <v>0</v>
      </c>
      <c r="J34" s="931">
        <f t="shared" si="5"/>
        <v>0</v>
      </c>
      <c r="M34" s="1676" t="s">
        <v>601</v>
      </c>
      <c r="N34" s="1677"/>
      <c r="O34" s="1693" t="s">
        <v>604</v>
      </c>
      <c r="P34" s="1694"/>
    </row>
    <row r="35" spans="2:17" ht="15" customHeight="1" thickBot="1" x14ac:dyDescent="0.25">
      <c r="B35" s="351" t="s">
        <v>107</v>
      </c>
      <c r="C35" s="644">
        <f>SUM(C27:C34)</f>
        <v>0</v>
      </c>
      <c r="D35" s="911">
        <f t="shared" ref="D35:I35" si="7">SUM(D27:D34)</f>
        <v>0</v>
      </c>
      <c r="E35" s="642">
        <f t="shared" si="7"/>
        <v>0</v>
      </c>
      <c r="F35" s="641">
        <f t="shared" si="7"/>
        <v>0</v>
      </c>
      <c r="G35" s="644">
        <f t="shared" si="7"/>
        <v>0</v>
      </c>
      <c r="H35" s="912">
        <f t="shared" si="7"/>
        <v>0</v>
      </c>
      <c r="I35" s="641">
        <f t="shared" si="7"/>
        <v>0</v>
      </c>
      <c r="J35" s="932">
        <f t="shared" si="5"/>
        <v>0</v>
      </c>
      <c r="M35" s="1361" t="s">
        <v>306</v>
      </c>
      <c r="N35" s="1362"/>
      <c r="O35" s="1695">
        <v>12</v>
      </c>
      <c r="P35" s="1696"/>
      <c r="Q35" t="s">
        <v>1</v>
      </c>
    </row>
    <row r="36" spans="2:17" ht="13.5" thickBot="1" x14ac:dyDescent="0.25">
      <c r="C36" s="700">
        <f>IF(I35=0,0,C35/I35)</f>
        <v>0</v>
      </c>
      <c r="D36" s="700">
        <f>IF(I35=0,0,D35/I35)</f>
        <v>0</v>
      </c>
      <c r="E36" s="700">
        <f>IF(I35=0,0,E35/I35)</f>
        <v>0</v>
      </c>
      <c r="F36" s="700">
        <f>IF(I35=0,0,F35/I35)</f>
        <v>0</v>
      </c>
      <c r="G36" s="700">
        <f>IF(I35=0,0,G35/I35)</f>
        <v>0</v>
      </c>
      <c r="H36" s="700">
        <f>IF(I35=0,0,H35/I35)</f>
        <v>0</v>
      </c>
      <c r="I36" s="700">
        <f>IF(I35=0,0,I35/I35)</f>
        <v>0</v>
      </c>
      <c r="J36" s="928"/>
      <c r="M36" s="1353" t="s">
        <v>588</v>
      </c>
      <c r="N36" s="1355"/>
      <c r="O36" s="1682">
        <v>2.04</v>
      </c>
      <c r="P36" s="1683"/>
    </row>
    <row r="37" spans="2:17" ht="17.25" customHeight="1" thickBot="1" x14ac:dyDescent="0.25">
      <c r="M37" s="1356" t="s">
        <v>610</v>
      </c>
    </row>
    <row r="38" spans="2:17" ht="13.5" thickBot="1" x14ac:dyDescent="0.25">
      <c r="B38" s="260"/>
      <c r="C38" s="913" t="str">
        <f t="shared" ref="C38:H38" si="8">C26</f>
        <v>Verkko1</v>
      </c>
      <c r="D38" s="1339" t="str">
        <f t="shared" si="8"/>
        <v>Verkko2</v>
      </c>
      <c r="E38" s="1340" t="str">
        <f t="shared" si="8"/>
        <v>Isorysä1</v>
      </c>
      <c r="F38" s="913" t="str">
        <f t="shared" si="8"/>
        <v>Isorysä2</v>
      </c>
      <c r="G38" s="1341" t="str">
        <f t="shared" si="8"/>
        <v>PU-rysä1</v>
      </c>
      <c r="H38" s="913" t="str">
        <f t="shared" si="8"/>
        <v>PU-rysä2</v>
      </c>
      <c r="I38" s="399" t="s">
        <v>107</v>
      </c>
    </row>
    <row r="39" spans="2:17" ht="13.5" thickBot="1" x14ac:dyDescent="0.25">
      <c r="B39" s="1337" t="s">
        <v>576</v>
      </c>
      <c r="C39" s="1611">
        <v>1</v>
      </c>
      <c r="D39" s="1611">
        <v>1</v>
      </c>
      <c r="E39" s="1611">
        <v>1</v>
      </c>
      <c r="F39" s="1611">
        <v>1</v>
      </c>
      <c r="G39" s="1611">
        <v>1</v>
      </c>
      <c r="H39" s="1611">
        <v>1</v>
      </c>
      <c r="I39" s="646">
        <f>IF(I23=0,0,I40/I23)</f>
        <v>0</v>
      </c>
    </row>
    <row r="40" spans="2:17" ht="13.5" thickBot="1" x14ac:dyDescent="0.25">
      <c r="B40" s="1338" t="s">
        <v>575</v>
      </c>
      <c r="C40" s="502">
        <f t="shared" ref="C40:H40" si="9">C39*C23</f>
        <v>0</v>
      </c>
      <c r="D40" s="502">
        <f t="shared" si="9"/>
        <v>0</v>
      </c>
      <c r="E40" s="502">
        <f t="shared" si="9"/>
        <v>0</v>
      </c>
      <c r="F40" s="502">
        <f t="shared" si="9"/>
        <v>0</v>
      </c>
      <c r="G40" s="502">
        <f t="shared" si="9"/>
        <v>0</v>
      </c>
      <c r="H40" s="502">
        <f t="shared" si="9"/>
        <v>0</v>
      </c>
      <c r="I40" s="416">
        <f>SUM(C40:H40)</f>
        <v>0</v>
      </c>
    </row>
    <row r="41" spans="2:17" x14ac:dyDescent="0.2">
      <c r="B41" s="171"/>
      <c r="C41" s="27"/>
      <c r="D41" s="27"/>
      <c r="E41" s="27"/>
      <c r="F41" s="27"/>
      <c r="G41" s="27"/>
    </row>
    <row r="42" spans="2:17" x14ac:dyDescent="0.2">
      <c r="B42" s="171"/>
      <c r="C42" s="27"/>
      <c r="D42" s="27"/>
      <c r="E42" s="27"/>
      <c r="F42" s="27"/>
      <c r="G42" s="27"/>
    </row>
    <row r="43" spans="2:17" x14ac:dyDescent="0.2">
      <c r="B43" s="171"/>
      <c r="C43" s="27"/>
      <c r="D43" s="27"/>
      <c r="E43" s="27"/>
      <c r="F43" s="27"/>
      <c r="G43" s="27"/>
    </row>
    <row r="44" spans="2:17" x14ac:dyDescent="0.2">
      <c r="B44" s="171"/>
      <c r="C44" s="27"/>
      <c r="D44" s="27"/>
      <c r="E44" s="27"/>
      <c r="F44" s="27"/>
      <c r="G44" s="27"/>
    </row>
    <row r="45" spans="2:17" x14ac:dyDescent="0.2">
      <c r="B45" s="171"/>
      <c r="C45" s="27"/>
      <c r="D45" s="27"/>
      <c r="E45" s="27"/>
      <c r="F45" s="27"/>
      <c r="G45" s="27"/>
    </row>
    <row r="46" spans="2:17" x14ac:dyDescent="0.2">
      <c r="B46" s="171"/>
      <c r="C46" s="27"/>
      <c r="D46" s="27"/>
      <c r="E46" s="27"/>
      <c r="F46" s="27"/>
      <c r="G46" s="27"/>
    </row>
    <row r="47" spans="2:17" x14ac:dyDescent="0.2">
      <c r="B47" s="171"/>
      <c r="C47" s="27"/>
      <c r="D47" s="27"/>
      <c r="E47" s="27"/>
      <c r="F47" s="27"/>
      <c r="G47" s="27"/>
    </row>
    <row r="48" spans="2:17" x14ac:dyDescent="0.2">
      <c r="B48" s="171"/>
      <c r="C48" s="27"/>
      <c r="D48" s="27"/>
      <c r="E48" s="27"/>
      <c r="F48" s="27"/>
      <c r="G48" s="27"/>
    </row>
    <row r="49" spans="2:7" x14ac:dyDescent="0.2">
      <c r="C49" s="27"/>
      <c r="D49" s="27"/>
      <c r="E49" s="27"/>
      <c r="F49" s="27"/>
      <c r="G49" s="27"/>
    </row>
    <row r="50" spans="2:7" x14ac:dyDescent="0.2">
      <c r="B50" s="34"/>
      <c r="C50" s="27"/>
      <c r="D50" s="87"/>
      <c r="E50" s="27"/>
      <c r="F50" s="27"/>
      <c r="G50" s="27"/>
    </row>
    <row r="51" spans="2:7" x14ac:dyDescent="0.2">
      <c r="B51" s="34"/>
      <c r="C51" s="27"/>
      <c r="D51" s="27"/>
      <c r="E51" s="27"/>
      <c r="F51" s="27"/>
      <c r="G51" s="27"/>
    </row>
    <row r="52" spans="2:7" x14ac:dyDescent="0.2">
      <c r="B52" s="171"/>
      <c r="C52" s="27"/>
      <c r="D52" s="27"/>
      <c r="E52" s="27"/>
      <c r="F52" s="27"/>
      <c r="G52" s="27"/>
    </row>
    <row r="53" spans="2:7" x14ac:dyDescent="0.2">
      <c r="B53" s="171"/>
      <c r="C53" s="27"/>
      <c r="D53" s="27"/>
      <c r="E53" s="27"/>
      <c r="F53" s="27"/>
      <c r="G53" s="27"/>
    </row>
    <row r="54" spans="2:7" x14ac:dyDescent="0.2">
      <c r="B54" s="171"/>
      <c r="C54" s="27"/>
      <c r="D54" s="27"/>
      <c r="E54" s="27"/>
      <c r="F54" s="27"/>
      <c r="G54" s="27"/>
    </row>
    <row r="55" spans="2:7" x14ac:dyDescent="0.2">
      <c r="B55" s="171"/>
      <c r="C55" s="27"/>
      <c r="D55" s="27"/>
      <c r="E55" s="27"/>
      <c r="F55" s="27"/>
      <c r="G55" s="27"/>
    </row>
    <row r="56" spans="2:7" x14ac:dyDescent="0.2">
      <c r="B56" s="171"/>
      <c r="C56" s="27"/>
      <c r="D56" s="27"/>
      <c r="E56" s="27"/>
      <c r="F56" s="27"/>
      <c r="G56" s="27"/>
    </row>
    <row r="57" spans="2:7" x14ac:dyDescent="0.2">
      <c r="B57" s="171"/>
      <c r="C57" s="27"/>
      <c r="D57" s="27"/>
      <c r="E57" s="27"/>
      <c r="F57" s="27"/>
      <c r="G57" s="27"/>
    </row>
    <row r="58" spans="2:7" x14ac:dyDescent="0.2">
      <c r="B58" s="171"/>
      <c r="C58" s="27"/>
      <c r="D58" s="27"/>
      <c r="E58" s="27"/>
      <c r="F58" s="27"/>
      <c r="G58" s="27"/>
    </row>
    <row r="59" spans="2:7" x14ac:dyDescent="0.2">
      <c r="B59" s="171"/>
      <c r="C59" s="27"/>
      <c r="D59" s="27"/>
      <c r="E59" s="27"/>
      <c r="F59" s="27"/>
      <c r="G59" s="27"/>
    </row>
    <row r="60" spans="2:7" x14ac:dyDescent="0.2">
      <c r="B60" s="171"/>
      <c r="C60" s="27"/>
      <c r="D60" s="27"/>
      <c r="E60" s="27"/>
      <c r="F60" s="27"/>
      <c r="G60" s="27"/>
    </row>
    <row r="61" spans="2:7" x14ac:dyDescent="0.2">
      <c r="C61" s="27"/>
      <c r="D61" s="27"/>
      <c r="E61" s="27"/>
      <c r="F61" s="27"/>
      <c r="G61" s="275"/>
    </row>
    <row r="62" spans="2:7" x14ac:dyDescent="0.2">
      <c r="B62" s="171"/>
      <c r="C62" s="27"/>
      <c r="D62" s="27"/>
      <c r="E62" s="27"/>
      <c r="F62" s="27"/>
      <c r="G62" s="106"/>
    </row>
    <row r="63" spans="2:7" x14ac:dyDescent="0.2">
      <c r="G63" s="275"/>
    </row>
  </sheetData>
  <sheetProtection password="C576" sheet="1" objects="1" scenarios="1"/>
  <mergeCells count="11">
    <mergeCell ref="B10:B11"/>
    <mergeCell ref="M34:N34"/>
    <mergeCell ref="O32:P32"/>
    <mergeCell ref="M29:N29"/>
    <mergeCell ref="O36:P36"/>
    <mergeCell ref="C13:I13"/>
    <mergeCell ref="C25:I25"/>
    <mergeCell ref="P25:Q26"/>
    <mergeCell ref="M26:N26"/>
    <mergeCell ref="O34:P34"/>
    <mergeCell ref="O35:P35"/>
  </mergeCells>
  <phoneticPr fontId="16" type="noConversion"/>
  <pageMargins left="0.74803149606299213" right="0.74803149606299213" top="0.98425196850393704" bottom="0.98425196850393704" header="0.51181102362204722" footer="0.51181102362204722"/>
  <pageSetup paperSize="9" scale="66" orientation="portrait" r:id="rId1"/>
  <headerFooter alignWithMargins="0"/>
  <ignoredErrors>
    <ignoredError sqref="I20" formula="1"/>
  </ignoredErrors>
  <legacyDrawing r:id="rId2"/>
  <picture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BQ89"/>
  <sheetViews>
    <sheetView showGridLines="0" zoomScaleNormal="100" workbookViewId="0">
      <selection activeCell="P38" sqref="P38"/>
    </sheetView>
  </sheetViews>
  <sheetFormatPr defaultRowHeight="12.75" x14ac:dyDescent="0.2"/>
  <cols>
    <col min="1" max="1" width="9.140625" style="991"/>
    <col min="2" max="2" width="24.7109375" style="991" customWidth="1"/>
    <col min="3" max="15" width="9.140625" style="992"/>
    <col min="16" max="16" width="9.140625" style="991"/>
    <col min="17" max="17" width="24.7109375" style="991" customWidth="1"/>
    <col min="18" max="31" width="9.140625" style="991"/>
    <col min="32" max="32" width="24.7109375" style="991" customWidth="1"/>
    <col min="33" max="46" width="9.140625" style="991"/>
    <col min="47" max="47" width="24.7109375" style="991" customWidth="1"/>
    <col min="48" max="61" width="9.140625" style="991"/>
    <col min="62" max="62" width="18.28515625" style="993" customWidth="1"/>
    <col min="63" max="63" width="17.7109375" style="991" customWidth="1"/>
    <col min="64" max="64" width="13" style="991" customWidth="1"/>
    <col min="65" max="65" width="18.42578125" style="991" customWidth="1"/>
    <col min="66" max="66" width="15.28515625" style="991" customWidth="1"/>
    <col min="67" max="67" width="30.28515625" style="991" customWidth="1"/>
    <col min="68" max="68" width="16.140625" style="991" bestFit="1" customWidth="1"/>
    <col min="69" max="69" width="12.5703125" style="991" customWidth="1"/>
    <col min="70" max="70" width="12.42578125" style="991" customWidth="1"/>
    <col min="71" max="16384" width="9.140625" style="991"/>
  </cols>
  <sheetData>
    <row r="1" spans="2:69" ht="13.5" thickBot="1" x14ac:dyDescent="0.25"/>
    <row r="2" spans="2:69" ht="21" thickBot="1" x14ac:dyDescent="0.25">
      <c r="B2" s="994" t="s">
        <v>453</v>
      </c>
      <c r="C2" s="995"/>
      <c r="D2" s="995"/>
    </row>
    <row r="3" spans="2:69" ht="13.5" thickBot="1" x14ac:dyDescent="0.25"/>
    <row r="4" spans="2:69" ht="13.5" thickBot="1" x14ac:dyDescent="0.25">
      <c r="B4" s="996" t="s">
        <v>74</v>
      </c>
      <c r="C4" s="1109"/>
      <c r="D4" s="1109"/>
      <c r="E4" s="1109"/>
      <c r="F4" s="1109"/>
      <c r="G4" s="1109"/>
      <c r="H4" s="1109"/>
      <c r="I4" s="1109"/>
      <c r="J4" s="1109"/>
      <c r="K4" s="1109"/>
      <c r="L4" s="1109"/>
      <c r="M4" s="1109"/>
      <c r="N4" s="1109"/>
      <c r="O4" s="1175"/>
      <c r="P4" s="993"/>
      <c r="Q4" s="997" t="s">
        <v>349</v>
      </c>
      <c r="R4" s="998"/>
      <c r="S4" s="998"/>
      <c r="T4" s="998"/>
      <c r="U4" s="998"/>
      <c r="V4" s="998"/>
      <c r="W4" s="998"/>
      <c r="X4" s="998"/>
      <c r="Y4" s="998"/>
      <c r="Z4" s="998"/>
      <c r="AA4" s="998"/>
      <c r="AB4" s="998"/>
      <c r="AC4" s="998"/>
      <c r="AD4" s="999"/>
      <c r="AE4" s="993"/>
      <c r="AF4" s="1000" t="s">
        <v>75</v>
      </c>
      <c r="AG4" s="1001"/>
      <c r="AH4" s="1001"/>
      <c r="AI4" s="1001"/>
      <c r="AJ4" s="1001"/>
      <c r="AK4" s="1001"/>
      <c r="AL4" s="1001"/>
      <c r="AM4" s="1001"/>
      <c r="AN4" s="1001"/>
      <c r="AO4" s="1001"/>
      <c r="AP4" s="1001"/>
      <c r="AQ4" s="1001"/>
      <c r="AR4" s="1001"/>
      <c r="AS4" s="1002"/>
      <c r="AT4" s="993"/>
      <c r="AU4" s="1000" t="s">
        <v>90</v>
      </c>
      <c r="AV4" s="1003"/>
      <c r="AW4" s="1003"/>
      <c r="AX4" s="1003"/>
      <c r="AY4" s="1003"/>
      <c r="AZ4" s="1003"/>
      <c r="BA4" s="1003"/>
      <c r="BB4" s="1003"/>
      <c r="BC4" s="1003"/>
      <c r="BD4" s="1003"/>
      <c r="BE4" s="1003"/>
      <c r="BF4" s="1003"/>
      <c r="BG4" s="1003"/>
      <c r="BH4" s="1004"/>
      <c r="BI4" s="993"/>
      <c r="BJ4" s="996" t="s">
        <v>372</v>
      </c>
      <c r="BK4" s="1005"/>
      <c r="BL4" s="1005"/>
      <c r="BM4" s="1005"/>
      <c r="BN4" s="1005"/>
      <c r="BO4" s="1005"/>
      <c r="BP4" s="1005"/>
      <c r="BQ4" s="1006"/>
    </row>
    <row r="5" spans="2:69" ht="13.5" thickBot="1" x14ac:dyDescent="0.25">
      <c r="B5" s="997" t="s">
        <v>363</v>
      </c>
      <c r="C5" s="1109"/>
      <c r="D5" s="1109"/>
      <c r="E5" s="1109"/>
      <c r="F5" s="1109"/>
      <c r="G5" s="1109"/>
      <c r="H5" s="1109"/>
      <c r="I5" s="1109"/>
      <c r="J5" s="1109"/>
      <c r="K5" s="1109"/>
      <c r="L5" s="1109"/>
      <c r="M5" s="1109"/>
      <c r="N5" s="1109"/>
      <c r="O5" s="1175"/>
      <c r="P5" s="993"/>
      <c r="Q5" s="1007" t="s">
        <v>340</v>
      </c>
      <c r="R5" s="1008">
        <v>1</v>
      </c>
      <c r="S5" s="1008">
        <v>2</v>
      </c>
      <c r="T5" s="1008">
        <v>3</v>
      </c>
      <c r="U5" s="1008">
        <v>4</v>
      </c>
      <c r="V5" s="1008">
        <v>5</v>
      </c>
      <c r="W5" s="1008">
        <v>6</v>
      </c>
      <c r="X5" s="1008">
        <v>7</v>
      </c>
      <c r="Y5" s="1008">
        <v>8</v>
      </c>
      <c r="Z5" s="1008">
        <v>9</v>
      </c>
      <c r="AA5" s="1008">
        <v>10</v>
      </c>
      <c r="AB5" s="1008">
        <v>11</v>
      </c>
      <c r="AC5" s="1009">
        <v>12</v>
      </c>
      <c r="AD5" s="1010" t="s">
        <v>341</v>
      </c>
      <c r="AE5" s="993"/>
      <c r="AF5" s="1011" t="s">
        <v>340</v>
      </c>
      <c r="AG5" s="1012">
        <v>1</v>
      </c>
      <c r="AH5" s="1013">
        <v>2</v>
      </c>
      <c r="AI5" s="1013">
        <v>3</v>
      </c>
      <c r="AJ5" s="1013">
        <v>4</v>
      </c>
      <c r="AK5" s="1013">
        <v>5</v>
      </c>
      <c r="AL5" s="1013">
        <v>6</v>
      </c>
      <c r="AM5" s="1013">
        <v>7</v>
      </c>
      <c r="AN5" s="1013">
        <v>8</v>
      </c>
      <c r="AO5" s="1013">
        <v>9</v>
      </c>
      <c r="AP5" s="1013">
        <v>10</v>
      </c>
      <c r="AQ5" s="1013">
        <v>11</v>
      </c>
      <c r="AR5" s="1014">
        <v>12</v>
      </c>
      <c r="AS5" s="1015" t="s">
        <v>341</v>
      </c>
      <c r="AT5" s="993"/>
      <c r="AU5" s="1007" t="s">
        <v>340</v>
      </c>
      <c r="AV5" s="1013">
        <v>1</v>
      </c>
      <c r="AW5" s="1013">
        <v>2</v>
      </c>
      <c r="AX5" s="1013">
        <v>3</v>
      </c>
      <c r="AY5" s="1013">
        <v>4</v>
      </c>
      <c r="AZ5" s="1013">
        <v>5</v>
      </c>
      <c r="BA5" s="1013">
        <v>6</v>
      </c>
      <c r="BB5" s="1013">
        <v>7</v>
      </c>
      <c r="BC5" s="1013">
        <v>8</v>
      </c>
      <c r="BD5" s="1013">
        <v>9</v>
      </c>
      <c r="BE5" s="1013">
        <v>10</v>
      </c>
      <c r="BF5" s="1013">
        <v>11</v>
      </c>
      <c r="BG5" s="1014">
        <v>12</v>
      </c>
      <c r="BH5" s="1015" t="s">
        <v>341</v>
      </c>
      <c r="BI5" s="993"/>
      <c r="BJ5" s="935" t="s">
        <v>371</v>
      </c>
      <c r="BK5" s="936" t="s">
        <v>342</v>
      </c>
      <c r="BL5" s="937" t="s">
        <v>344</v>
      </c>
      <c r="BM5" s="937" t="s">
        <v>345</v>
      </c>
      <c r="BN5" s="937" t="s">
        <v>346</v>
      </c>
      <c r="BO5" s="938" t="s">
        <v>347</v>
      </c>
      <c r="BP5" s="939" t="s">
        <v>348</v>
      </c>
      <c r="BQ5" s="940" t="s">
        <v>352</v>
      </c>
    </row>
    <row r="6" spans="2:69" ht="13.5" thickBot="1" x14ac:dyDescent="0.25">
      <c r="B6" s="1016" t="s">
        <v>354</v>
      </c>
      <c r="C6" s="1003"/>
      <c r="D6" s="1003"/>
      <c r="E6" s="1003"/>
      <c r="F6" s="1003"/>
      <c r="G6" s="1003"/>
      <c r="H6" s="1003"/>
      <c r="I6" s="1003"/>
      <c r="J6" s="1003"/>
      <c r="K6" s="1003"/>
      <c r="L6" s="1003"/>
      <c r="M6" s="1003"/>
      <c r="N6" s="1003"/>
      <c r="O6" s="1004"/>
      <c r="P6" s="993"/>
      <c r="Q6" s="1017" t="s">
        <v>342</v>
      </c>
      <c r="R6" s="1018" t="s">
        <v>343</v>
      </c>
      <c r="S6" s="1019" t="s">
        <v>343</v>
      </c>
      <c r="T6" s="1019" t="s">
        <v>343</v>
      </c>
      <c r="U6" s="1019" t="s">
        <v>343</v>
      </c>
      <c r="V6" s="1020" t="s">
        <v>343</v>
      </c>
      <c r="W6" s="1020">
        <v>6.21</v>
      </c>
      <c r="X6" s="1020">
        <v>5.82</v>
      </c>
      <c r="Y6" s="1020">
        <v>6.63</v>
      </c>
      <c r="Z6" s="1020" t="s">
        <v>350</v>
      </c>
      <c r="AA6" s="1021" t="s">
        <v>343</v>
      </c>
      <c r="AB6" s="1021" t="s">
        <v>343</v>
      </c>
      <c r="AC6" s="1022" t="s">
        <v>343</v>
      </c>
      <c r="AD6" s="946">
        <v>5.91</v>
      </c>
      <c r="AE6" s="993"/>
      <c r="AF6" s="1023" t="s">
        <v>342</v>
      </c>
      <c r="AG6" s="1024">
        <v>4.75</v>
      </c>
      <c r="AH6" s="1025">
        <v>5.53</v>
      </c>
      <c r="AI6" s="1025">
        <v>5.66</v>
      </c>
      <c r="AJ6" s="1025">
        <v>5.69</v>
      </c>
      <c r="AK6" s="1025" t="s">
        <v>350</v>
      </c>
      <c r="AL6" s="1025" t="s">
        <v>350</v>
      </c>
      <c r="AM6" s="1025" t="s">
        <v>350</v>
      </c>
      <c r="AN6" s="1025" t="s">
        <v>350</v>
      </c>
      <c r="AO6" s="1025">
        <v>4.72</v>
      </c>
      <c r="AP6" s="1025">
        <v>4.2</v>
      </c>
      <c r="AQ6" s="1025" t="s">
        <v>350</v>
      </c>
      <c r="AR6" s="1026" t="s">
        <v>343</v>
      </c>
      <c r="AS6" s="1027">
        <v>4.83</v>
      </c>
      <c r="AT6" s="993"/>
      <c r="AU6" s="1017" t="s">
        <v>342</v>
      </c>
      <c r="AV6" s="1024">
        <v>1.88</v>
      </c>
      <c r="AW6" s="1025">
        <v>1.94</v>
      </c>
      <c r="AX6" s="1025">
        <v>1.93</v>
      </c>
      <c r="AY6" s="1025">
        <v>1.53</v>
      </c>
      <c r="AZ6" s="1025">
        <v>1.49</v>
      </c>
      <c r="BA6" s="1025">
        <v>1.53</v>
      </c>
      <c r="BB6" s="1025">
        <v>1.56</v>
      </c>
      <c r="BC6" s="1025">
        <v>1.68</v>
      </c>
      <c r="BD6" s="1025">
        <v>1.54</v>
      </c>
      <c r="BE6" s="1025">
        <v>1.52</v>
      </c>
      <c r="BF6" s="1025">
        <v>1.5</v>
      </c>
      <c r="BG6" s="1026" t="s">
        <v>350</v>
      </c>
      <c r="BH6" s="1027">
        <v>1.6</v>
      </c>
      <c r="BI6" s="993"/>
      <c r="BJ6" s="941" t="s">
        <v>108</v>
      </c>
      <c r="BK6" s="942">
        <v>2.37</v>
      </c>
      <c r="BL6" s="943">
        <v>2.2000000000000002</v>
      </c>
      <c r="BM6" s="944" t="s">
        <v>350</v>
      </c>
      <c r="BN6" s="944" t="s">
        <v>350</v>
      </c>
      <c r="BO6" s="945" t="s">
        <v>350</v>
      </c>
      <c r="BP6" s="959">
        <v>2.36</v>
      </c>
      <c r="BQ6" s="946">
        <v>2.74</v>
      </c>
    </row>
    <row r="7" spans="2:69" ht="13.5" thickBot="1" x14ac:dyDescent="0.25">
      <c r="B7" s="1028" t="s">
        <v>340</v>
      </c>
      <c r="C7" s="1012">
        <v>1</v>
      </c>
      <c r="D7" s="1013">
        <v>2</v>
      </c>
      <c r="E7" s="1013">
        <v>3</v>
      </c>
      <c r="F7" s="1013">
        <v>4</v>
      </c>
      <c r="G7" s="1013">
        <v>5</v>
      </c>
      <c r="H7" s="1013">
        <v>6</v>
      </c>
      <c r="I7" s="1013">
        <v>7</v>
      </c>
      <c r="J7" s="1013">
        <v>8</v>
      </c>
      <c r="K7" s="1013">
        <v>9</v>
      </c>
      <c r="L7" s="1013">
        <v>10</v>
      </c>
      <c r="M7" s="1013">
        <v>11</v>
      </c>
      <c r="N7" s="1014">
        <v>12</v>
      </c>
      <c r="O7" s="1015" t="s">
        <v>341</v>
      </c>
      <c r="P7" s="993"/>
      <c r="Q7" s="1023" t="s">
        <v>344</v>
      </c>
      <c r="R7" s="1029" t="s">
        <v>343</v>
      </c>
      <c r="S7" s="1030" t="s">
        <v>343</v>
      </c>
      <c r="T7" s="1030" t="s">
        <v>343</v>
      </c>
      <c r="U7" s="1030" t="s">
        <v>343</v>
      </c>
      <c r="V7" s="1031" t="s">
        <v>343</v>
      </c>
      <c r="W7" s="1031">
        <v>4.2300000000000004</v>
      </c>
      <c r="X7" s="1031">
        <v>4.25</v>
      </c>
      <c r="Y7" s="1032">
        <v>3.98</v>
      </c>
      <c r="Z7" s="1032" t="s">
        <v>350</v>
      </c>
      <c r="AA7" s="1032" t="s">
        <v>343</v>
      </c>
      <c r="AB7" s="1032" t="s">
        <v>343</v>
      </c>
      <c r="AC7" s="1033" t="s">
        <v>343</v>
      </c>
      <c r="AD7" s="1034">
        <v>4.2300000000000004</v>
      </c>
      <c r="AE7" s="993"/>
      <c r="AF7" s="1023" t="s">
        <v>344</v>
      </c>
      <c r="AG7" s="1035" t="s">
        <v>350</v>
      </c>
      <c r="AH7" s="1036" t="s">
        <v>350</v>
      </c>
      <c r="AI7" s="1036" t="s">
        <v>350</v>
      </c>
      <c r="AJ7" s="1036" t="s">
        <v>350</v>
      </c>
      <c r="AK7" s="1036">
        <v>4.47</v>
      </c>
      <c r="AL7" s="1036">
        <v>5.5</v>
      </c>
      <c r="AM7" s="1036">
        <v>5.0199999999999996</v>
      </c>
      <c r="AN7" s="1036">
        <v>5.86</v>
      </c>
      <c r="AO7" s="1036">
        <v>5.87</v>
      </c>
      <c r="AP7" s="1036">
        <v>4.42</v>
      </c>
      <c r="AQ7" s="1036">
        <v>4.4800000000000004</v>
      </c>
      <c r="AR7" s="1037">
        <v>4.42</v>
      </c>
      <c r="AS7" s="1038">
        <v>5.2</v>
      </c>
      <c r="AT7" s="993"/>
      <c r="AU7" s="1023" t="s">
        <v>344</v>
      </c>
      <c r="AV7" s="1035">
        <v>1.39</v>
      </c>
      <c r="AW7" s="1036">
        <v>1.44</v>
      </c>
      <c r="AX7" s="1036">
        <v>1.62</v>
      </c>
      <c r="AY7" s="1036">
        <v>1.47</v>
      </c>
      <c r="AZ7" s="1036">
        <v>0.97</v>
      </c>
      <c r="BA7" s="1036">
        <v>1.17</v>
      </c>
      <c r="BB7" s="1036">
        <v>1.25</v>
      </c>
      <c r="BC7" s="1036">
        <v>1.32</v>
      </c>
      <c r="BD7" s="1036">
        <v>1.36</v>
      </c>
      <c r="BE7" s="1036">
        <v>1.4</v>
      </c>
      <c r="BF7" s="1036">
        <v>1.39</v>
      </c>
      <c r="BG7" s="1037">
        <v>1.43</v>
      </c>
      <c r="BH7" s="1038">
        <v>1.38</v>
      </c>
      <c r="BI7" s="993"/>
      <c r="BJ7" s="947" t="s">
        <v>102</v>
      </c>
      <c r="BK7" s="948">
        <v>3.02</v>
      </c>
      <c r="BL7" s="949">
        <v>1.85</v>
      </c>
      <c r="BM7" s="949">
        <v>1.78</v>
      </c>
      <c r="BN7" s="949">
        <v>1.25</v>
      </c>
      <c r="BO7" s="950">
        <v>2.42</v>
      </c>
      <c r="BP7" s="959">
        <v>1.78</v>
      </c>
      <c r="BQ7" s="951" t="s">
        <v>350</v>
      </c>
    </row>
    <row r="8" spans="2:69" x14ac:dyDescent="0.2">
      <c r="B8" s="947" t="s">
        <v>342</v>
      </c>
      <c r="C8" s="1018" t="s">
        <v>343</v>
      </c>
      <c r="D8" s="1019" t="s">
        <v>343</v>
      </c>
      <c r="E8" s="1019" t="s">
        <v>343</v>
      </c>
      <c r="F8" s="1019" t="s">
        <v>343</v>
      </c>
      <c r="G8" s="1019">
        <v>0.86</v>
      </c>
      <c r="H8" s="1019">
        <v>0.5</v>
      </c>
      <c r="I8" s="1019">
        <v>0.51</v>
      </c>
      <c r="J8" s="1019" t="s">
        <v>343</v>
      </c>
      <c r="K8" s="1019" t="s">
        <v>343</v>
      </c>
      <c r="L8" s="1019" t="s">
        <v>343</v>
      </c>
      <c r="M8" s="1019" t="s">
        <v>343</v>
      </c>
      <c r="N8" s="1083" t="s">
        <v>343</v>
      </c>
      <c r="O8" s="946">
        <v>0.63</v>
      </c>
      <c r="P8" s="993"/>
      <c r="Q8" s="1023" t="s">
        <v>345</v>
      </c>
      <c r="R8" s="1029" t="s">
        <v>343</v>
      </c>
      <c r="S8" s="1030">
        <v>8</v>
      </c>
      <c r="T8" s="1030">
        <v>8</v>
      </c>
      <c r="U8" s="1031" t="s">
        <v>343</v>
      </c>
      <c r="V8" s="1031">
        <v>5.91</v>
      </c>
      <c r="W8" s="1031">
        <v>5.85</v>
      </c>
      <c r="X8" s="1031">
        <v>6.06</v>
      </c>
      <c r="Y8" s="1031">
        <v>6.19</v>
      </c>
      <c r="Z8" s="1031">
        <v>4.22</v>
      </c>
      <c r="AA8" s="1032" t="s">
        <v>343</v>
      </c>
      <c r="AB8" s="1031" t="s">
        <v>343</v>
      </c>
      <c r="AC8" s="1039">
        <v>3.63</v>
      </c>
      <c r="AD8" s="1034">
        <v>5.66</v>
      </c>
      <c r="AE8" s="993"/>
      <c r="AF8" s="1023" t="s">
        <v>345</v>
      </c>
      <c r="AG8" s="1035">
        <v>5.42</v>
      </c>
      <c r="AH8" s="1036">
        <v>5.39</v>
      </c>
      <c r="AI8" s="1036">
        <v>5.33</v>
      </c>
      <c r="AJ8" s="1036">
        <v>5.0999999999999996</v>
      </c>
      <c r="AK8" s="1036">
        <v>5.01</v>
      </c>
      <c r="AL8" s="1036">
        <v>5.04</v>
      </c>
      <c r="AM8" s="1036">
        <v>5.75</v>
      </c>
      <c r="AN8" s="1036">
        <v>5.49</v>
      </c>
      <c r="AO8" s="1036">
        <v>5.44</v>
      </c>
      <c r="AP8" s="1036">
        <v>4.71</v>
      </c>
      <c r="AQ8" s="1036">
        <v>4.59</v>
      </c>
      <c r="AR8" s="1037">
        <v>4.79</v>
      </c>
      <c r="AS8" s="1038">
        <v>4.87</v>
      </c>
      <c r="AT8" s="993"/>
      <c r="AU8" s="1023" t="s">
        <v>345</v>
      </c>
      <c r="AV8" s="1035">
        <v>1.49</v>
      </c>
      <c r="AW8" s="1036">
        <v>1.53</v>
      </c>
      <c r="AX8" s="1036">
        <v>1.53</v>
      </c>
      <c r="AY8" s="1036">
        <v>1.45</v>
      </c>
      <c r="AZ8" s="1036">
        <v>1.33</v>
      </c>
      <c r="BA8" s="1036">
        <v>1.35</v>
      </c>
      <c r="BB8" s="1036">
        <v>1.51</v>
      </c>
      <c r="BC8" s="1036">
        <v>1.54</v>
      </c>
      <c r="BD8" s="1036">
        <v>1.64</v>
      </c>
      <c r="BE8" s="1036">
        <v>1.54</v>
      </c>
      <c r="BF8" s="1036">
        <v>1.51</v>
      </c>
      <c r="BG8" s="1037">
        <v>1.48</v>
      </c>
      <c r="BH8" s="1038">
        <v>1.48</v>
      </c>
      <c r="BI8" s="993"/>
      <c r="BJ8" s="947" t="s">
        <v>101</v>
      </c>
      <c r="BK8" s="948">
        <v>4.83</v>
      </c>
      <c r="BL8" s="949">
        <v>5.2</v>
      </c>
      <c r="BM8" s="949">
        <v>4.87</v>
      </c>
      <c r="BN8" s="949">
        <v>4.55</v>
      </c>
      <c r="BO8" s="950">
        <v>5.7</v>
      </c>
      <c r="BP8" s="959">
        <v>4.9000000000000004</v>
      </c>
      <c r="BQ8" s="951" t="s">
        <v>350</v>
      </c>
    </row>
    <row r="9" spans="2:69" x14ac:dyDescent="0.2">
      <c r="B9" s="947" t="s">
        <v>344</v>
      </c>
      <c r="C9" s="1176">
        <v>0.54</v>
      </c>
      <c r="D9" s="1177">
        <v>0.53</v>
      </c>
      <c r="E9" s="1177" t="s">
        <v>343</v>
      </c>
      <c r="F9" s="1177">
        <v>0.5</v>
      </c>
      <c r="G9" s="1177">
        <v>0.5</v>
      </c>
      <c r="H9" s="1177">
        <v>0.53</v>
      </c>
      <c r="I9" s="1030">
        <v>0.55000000000000004</v>
      </c>
      <c r="J9" s="1177">
        <v>0.55000000000000004</v>
      </c>
      <c r="K9" s="1178">
        <v>0.62</v>
      </c>
      <c r="L9" s="1177">
        <v>0.6</v>
      </c>
      <c r="M9" s="1177">
        <v>0.56999999999999995</v>
      </c>
      <c r="N9" s="1179">
        <v>0.57999999999999996</v>
      </c>
      <c r="O9" s="1034">
        <v>0.56000000000000005</v>
      </c>
      <c r="P9" s="993"/>
      <c r="Q9" s="1023" t="s">
        <v>346</v>
      </c>
      <c r="R9" s="1029" t="s">
        <v>343</v>
      </c>
      <c r="S9" s="1030" t="s">
        <v>343</v>
      </c>
      <c r="T9" s="1030" t="s">
        <v>343</v>
      </c>
      <c r="U9" s="1030" t="s">
        <v>343</v>
      </c>
      <c r="V9" s="1030" t="s">
        <v>343</v>
      </c>
      <c r="W9" s="1030" t="s">
        <v>343</v>
      </c>
      <c r="X9" s="1030" t="s">
        <v>343</v>
      </c>
      <c r="Y9" s="1030" t="s">
        <v>343</v>
      </c>
      <c r="Z9" s="1030" t="s">
        <v>343</v>
      </c>
      <c r="AA9" s="1030" t="s">
        <v>343</v>
      </c>
      <c r="AB9" s="1030" t="s">
        <v>343</v>
      </c>
      <c r="AC9" s="1039" t="s">
        <v>343</v>
      </c>
      <c r="AD9" s="1034" t="s">
        <v>343</v>
      </c>
      <c r="AE9" s="993"/>
      <c r="AF9" s="1023" t="s">
        <v>346</v>
      </c>
      <c r="AG9" s="1035">
        <v>4.28</v>
      </c>
      <c r="AH9" s="1036">
        <v>4.6900000000000004</v>
      </c>
      <c r="AI9" s="1036">
        <v>4.49</v>
      </c>
      <c r="AJ9" s="1036">
        <v>4.87</v>
      </c>
      <c r="AK9" s="1036">
        <v>4.9000000000000004</v>
      </c>
      <c r="AL9" s="1036">
        <v>4.7300000000000004</v>
      </c>
      <c r="AM9" s="1036" t="s">
        <v>350</v>
      </c>
      <c r="AN9" s="1036" t="s">
        <v>350</v>
      </c>
      <c r="AO9" s="1036">
        <v>4.51</v>
      </c>
      <c r="AP9" s="1036">
        <v>4.07</v>
      </c>
      <c r="AQ9" s="1036">
        <v>3.79</v>
      </c>
      <c r="AR9" s="1037">
        <v>4.33</v>
      </c>
      <c r="AS9" s="1038">
        <v>4.55</v>
      </c>
      <c r="AT9" s="993"/>
      <c r="AU9" s="1023" t="s">
        <v>346</v>
      </c>
      <c r="AV9" s="1035">
        <v>1.2</v>
      </c>
      <c r="AW9" s="1036">
        <v>1.22</v>
      </c>
      <c r="AX9" s="1036">
        <v>1.22</v>
      </c>
      <c r="AY9" s="1036">
        <v>1.17</v>
      </c>
      <c r="AZ9" s="1036">
        <v>0.9</v>
      </c>
      <c r="BA9" s="1036">
        <v>0.93</v>
      </c>
      <c r="BB9" s="1036">
        <v>1.58</v>
      </c>
      <c r="BC9" s="1036">
        <v>1.84</v>
      </c>
      <c r="BD9" s="1036">
        <v>1.73</v>
      </c>
      <c r="BE9" s="1036">
        <v>1.29</v>
      </c>
      <c r="BF9" s="1036">
        <v>1.1000000000000001</v>
      </c>
      <c r="BG9" s="1037">
        <v>1.22</v>
      </c>
      <c r="BH9" s="1038">
        <v>1.18</v>
      </c>
      <c r="BI9" s="993"/>
      <c r="BJ9" s="947" t="s">
        <v>104</v>
      </c>
      <c r="BK9" s="948">
        <v>1.6</v>
      </c>
      <c r="BL9" s="949">
        <v>1.38</v>
      </c>
      <c r="BM9" s="949">
        <v>1.48</v>
      </c>
      <c r="BN9" s="949">
        <v>1.18</v>
      </c>
      <c r="BO9" s="950">
        <v>1.52</v>
      </c>
      <c r="BP9" s="959">
        <v>1.42</v>
      </c>
      <c r="BQ9" s="951" t="s">
        <v>350</v>
      </c>
    </row>
    <row r="10" spans="2:69" ht="12.75" customHeight="1" thickBot="1" x14ac:dyDescent="0.25">
      <c r="B10" s="947" t="s">
        <v>345</v>
      </c>
      <c r="C10" s="1176">
        <v>0.6</v>
      </c>
      <c r="D10" s="1177">
        <v>0.68</v>
      </c>
      <c r="E10" s="1177">
        <v>0.68</v>
      </c>
      <c r="F10" s="1177">
        <v>0.72</v>
      </c>
      <c r="G10" s="1177">
        <v>0.69</v>
      </c>
      <c r="H10" s="1177">
        <v>0.64</v>
      </c>
      <c r="I10" s="1178" t="s">
        <v>343</v>
      </c>
      <c r="J10" s="1177" t="s">
        <v>343</v>
      </c>
      <c r="K10" s="1178">
        <v>0.72</v>
      </c>
      <c r="L10" s="1177">
        <v>0.6</v>
      </c>
      <c r="M10" s="1177">
        <v>0.53</v>
      </c>
      <c r="N10" s="1179">
        <v>0.28000000000000003</v>
      </c>
      <c r="O10" s="1034">
        <v>0.39</v>
      </c>
      <c r="P10" s="993"/>
      <c r="Q10" s="1023" t="s">
        <v>347</v>
      </c>
      <c r="R10" s="1040" t="s">
        <v>343</v>
      </c>
      <c r="S10" s="957" t="s">
        <v>343</v>
      </c>
      <c r="T10" s="957" t="s">
        <v>343</v>
      </c>
      <c r="U10" s="957" t="s">
        <v>343</v>
      </c>
      <c r="V10" s="1041">
        <v>6.73</v>
      </c>
      <c r="W10" s="1041">
        <v>6.4</v>
      </c>
      <c r="X10" s="1041">
        <v>6.27</v>
      </c>
      <c r="Y10" s="1041">
        <v>7.56</v>
      </c>
      <c r="Z10" s="1041">
        <v>6.4</v>
      </c>
      <c r="AA10" s="1041">
        <v>6.19</v>
      </c>
      <c r="AB10" s="957" t="s">
        <v>350</v>
      </c>
      <c r="AC10" s="958" t="s">
        <v>343</v>
      </c>
      <c r="AD10" s="1042">
        <v>6.49</v>
      </c>
      <c r="AE10" s="993"/>
      <c r="AF10" s="1023" t="s">
        <v>347</v>
      </c>
      <c r="AG10" s="1043">
        <v>5.75</v>
      </c>
      <c r="AH10" s="1044">
        <v>5.36</v>
      </c>
      <c r="AI10" s="1044">
        <v>5.56</v>
      </c>
      <c r="AJ10" s="1044">
        <v>6.01</v>
      </c>
      <c r="AK10" s="1044">
        <v>5.57</v>
      </c>
      <c r="AL10" s="1044" t="s">
        <v>350</v>
      </c>
      <c r="AM10" s="1044" t="s">
        <v>350</v>
      </c>
      <c r="AN10" s="1044">
        <v>6.16</v>
      </c>
      <c r="AO10" s="1044">
        <v>5.78</v>
      </c>
      <c r="AP10" s="1044">
        <v>5.42</v>
      </c>
      <c r="AQ10" s="1044">
        <v>5.61</v>
      </c>
      <c r="AR10" s="1045">
        <v>5.75</v>
      </c>
      <c r="AS10" s="1046">
        <v>5.7</v>
      </c>
      <c r="AT10" s="993"/>
      <c r="AU10" s="1023" t="s">
        <v>347</v>
      </c>
      <c r="AV10" s="1043">
        <v>1.53</v>
      </c>
      <c r="AW10" s="1044">
        <v>1.61</v>
      </c>
      <c r="AX10" s="1044">
        <v>1.51</v>
      </c>
      <c r="AY10" s="1044">
        <v>1.25</v>
      </c>
      <c r="AZ10" s="1044">
        <v>1.1599999999999999</v>
      </c>
      <c r="BA10" s="1044">
        <v>1.38</v>
      </c>
      <c r="BB10" s="1044" t="s">
        <v>350</v>
      </c>
      <c r="BC10" s="1047" t="s">
        <v>350</v>
      </c>
      <c r="BD10" s="1044" t="s">
        <v>343</v>
      </c>
      <c r="BE10" s="1044">
        <v>1.87</v>
      </c>
      <c r="BF10" s="1044" t="s">
        <v>350</v>
      </c>
      <c r="BG10" s="1048" t="s">
        <v>343</v>
      </c>
      <c r="BH10" s="1046">
        <v>1.52</v>
      </c>
      <c r="BI10" s="993"/>
      <c r="BJ10" s="947" t="s">
        <v>37</v>
      </c>
      <c r="BK10" s="948">
        <v>0.44</v>
      </c>
      <c r="BL10" s="949">
        <v>0.3</v>
      </c>
      <c r="BM10" s="949">
        <v>0.42</v>
      </c>
      <c r="BN10" s="949">
        <v>0.61</v>
      </c>
      <c r="BO10" s="950">
        <v>0.48</v>
      </c>
      <c r="BP10" s="959">
        <v>0.52</v>
      </c>
      <c r="BQ10" s="951" t="s">
        <v>350</v>
      </c>
    </row>
    <row r="11" spans="2:69" ht="12.75" customHeight="1" thickBot="1" x14ac:dyDescent="0.25">
      <c r="B11" s="947" t="s">
        <v>346</v>
      </c>
      <c r="C11" s="1029" t="s">
        <v>343</v>
      </c>
      <c r="D11" s="1030" t="s">
        <v>343</v>
      </c>
      <c r="E11" s="1030" t="s">
        <v>343</v>
      </c>
      <c r="F11" s="1030" t="s">
        <v>343</v>
      </c>
      <c r="G11" s="1030" t="s">
        <v>343</v>
      </c>
      <c r="H11" s="1030" t="s">
        <v>343</v>
      </c>
      <c r="I11" s="1030" t="s">
        <v>343</v>
      </c>
      <c r="J11" s="1030" t="s">
        <v>343</v>
      </c>
      <c r="K11" s="1030" t="s">
        <v>343</v>
      </c>
      <c r="L11" s="1030" t="s">
        <v>343</v>
      </c>
      <c r="M11" s="1030" t="s">
        <v>343</v>
      </c>
      <c r="N11" s="1087" t="s">
        <v>343</v>
      </c>
      <c r="O11" s="1034" t="s">
        <v>343</v>
      </c>
      <c r="P11" s="993"/>
      <c r="Q11" s="1011" t="s">
        <v>348</v>
      </c>
      <c r="R11" s="1049" t="s">
        <v>343</v>
      </c>
      <c r="S11" s="1050">
        <v>8</v>
      </c>
      <c r="T11" s="1050">
        <v>8</v>
      </c>
      <c r="U11" s="1050" t="s">
        <v>343</v>
      </c>
      <c r="V11" s="1050">
        <v>6.08</v>
      </c>
      <c r="W11" s="1050">
        <v>5.28</v>
      </c>
      <c r="X11" s="1050">
        <v>5.65</v>
      </c>
      <c r="Y11" s="1050">
        <v>7.34</v>
      </c>
      <c r="Z11" s="1050">
        <v>4.99</v>
      </c>
      <c r="AA11" s="1050">
        <v>6.19</v>
      </c>
      <c r="AB11" s="1050" t="s">
        <v>350</v>
      </c>
      <c r="AC11" s="1051">
        <v>3.63</v>
      </c>
      <c r="AD11" s="1052">
        <v>5.38</v>
      </c>
      <c r="AE11" s="993"/>
      <c r="AF11" s="1011" t="s">
        <v>348</v>
      </c>
      <c r="AG11" s="1053">
        <v>5.38</v>
      </c>
      <c r="AH11" s="1054">
        <v>5.34</v>
      </c>
      <c r="AI11" s="1054">
        <v>5.25</v>
      </c>
      <c r="AJ11" s="1054">
        <v>5.1100000000000003</v>
      </c>
      <c r="AK11" s="1054">
        <v>5.05</v>
      </c>
      <c r="AL11" s="1054">
        <v>5.05</v>
      </c>
      <c r="AM11" s="1054">
        <v>5.45</v>
      </c>
      <c r="AN11" s="1054">
        <v>5.86</v>
      </c>
      <c r="AO11" s="1054">
        <v>5.41</v>
      </c>
      <c r="AP11" s="1054">
        <v>4.71</v>
      </c>
      <c r="AQ11" s="1054">
        <v>4.6100000000000003</v>
      </c>
      <c r="AR11" s="1055">
        <v>4.8099999999999996</v>
      </c>
      <c r="AS11" s="1052">
        <v>4.9000000000000004</v>
      </c>
      <c r="AT11" s="993"/>
      <c r="AU11" s="1011" t="s">
        <v>348</v>
      </c>
      <c r="AV11" s="1053">
        <v>1.48</v>
      </c>
      <c r="AW11" s="1054">
        <v>1.5</v>
      </c>
      <c r="AX11" s="1054">
        <v>1.59</v>
      </c>
      <c r="AY11" s="1054">
        <v>1.42</v>
      </c>
      <c r="AZ11" s="1054">
        <v>1.22</v>
      </c>
      <c r="BA11" s="1054">
        <v>1.24</v>
      </c>
      <c r="BB11" s="1054">
        <v>1.4</v>
      </c>
      <c r="BC11" s="1054">
        <v>1.45</v>
      </c>
      <c r="BD11" s="1054">
        <v>1.5</v>
      </c>
      <c r="BE11" s="1054">
        <v>1.47</v>
      </c>
      <c r="BF11" s="1054">
        <v>1.43</v>
      </c>
      <c r="BG11" s="1055">
        <v>1.44</v>
      </c>
      <c r="BH11" s="1052">
        <v>1.42</v>
      </c>
      <c r="BI11" s="993"/>
      <c r="BJ11" s="947" t="s">
        <v>105</v>
      </c>
      <c r="BK11" s="948">
        <v>4.41</v>
      </c>
      <c r="BL11" s="949">
        <v>4.28</v>
      </c>
      <c r="BM11" s="949">
        <v>5.37</v>
      </c>
      <c r="BN11" s="949">
        <v>4.22</v>
      </c>
      <c r="BO11" s="950">
        <v>5.69</v>
      </c>
      <c r="BP11" s="959">
        <v>4.76</v>
      </c>
      <c r="BQ11" s="951" t="s">
        <v>350</v>
      </c>
    </row>
    <row r="12" spans="2:69" ht="12.75" customHeight="1" thickBot="1" x14ac:dyDescent="0.25">
      <c r="B12" s="947" t="s">
        <v>347</v>
      </c>
      <c r="C12" s="955" t="s">
        <v>343</v>
      </c>
      <c r="D12" s="956" t="s">
        <v>343</v>
      </c>
      <c r="E12" s="956" t="s">
        <v>343</v>
      </c>
      <c r="F12" s="956" t="s">
        <v>343</v>
      </c>
      <c r="G12" s="956" t="s">
        <v>343</v>
      </c>
      <c r="H12" s="956" t="s">
        <v>343</v>
      </c>
      <c r="I12" s="956" t="s">
        <v>343</v>
      </c>
      <c r="J12" s="956" t="s">
        <v>343</v>
      </c>
      <c r="K12" s="956" t="s">
        <v>343</v>
      </c>
      <c r="L12" s="956" t="s">
        <v>343</v>
      </c>
      <c r="M12" s="956" t="s">
        <v>343</v>
      </c>
      <c r="N12" s="1088" t="s">
        <v>343</v>
      </c>
      <c r="O12" s="1042" t="s">
        <v>343</v>
      </c>
      <c r="P12" s="993"/>
      <c r="Q12" s="1180"/>
      <c r="R12" s="1180"/>
      <c r="S12" s="1180"/>
      <c r="T12" s="1180"/>
      <c r="U12" s="1180"/>
      <c r="V12" s="1180"/>
      <c r="W12" s="1180"/>
      <c r="X12" s="1180"/>
      <c r="Y12" s="1180"/>
      <c r="Z12" s="1180"/>
      <c r="AA12" s="1180"/>
      <c r="AB12" s="1180"/>
      <c r="AC12" s="1180"/>
      <c r="AD12" s="1056"/>
      <c r="AE12" s="993"/>
      <c r="AF12" s="1180"/>
      <c r="AG12" s="1058"/>
      <c r="AH12" s="1058"/>
      <c r="AI12" s="1058"/>
      <c r="AJ12" s="1058"/>
      <c r="AK12" s="1058"/>
      <c r="AL12" s="1058"/>
      <c r="AM12" s="1058"/>
      <c r="AN12" s="1058"/>
      <c r="AO12" s="1058"/>
      <c r="AP12" s="1058"/>
      <c r="AQ12" s="1058"/>
      <c r="AR12" s="1058"/>
      <c r="AS12" s="1058"/>
      <c r="AT12" s="993"/>
      <c r="AU12" s="1057"/>
      <c r="AV12" s="1058"/>
      <c r="AW12" s="1058"/>
      <c r="AX12" s="1058"/>
      <c r="AY12" s="1058"/>
      <c r="AZ12" s="1058"/>
      <c r="BA12" s="1058"/>
      <c r="BB12" s="1058"/>
      <c r="BC12" s="1058"/>
      <c r="BD12" s="1058"/>
      <c r="BE12" s="1058"/>
      <c r="BF12" s="1058"/>
      <c r="BG12" s="1058"/>
      <c r="BH12" s="1058"/>
      <c r="BI12" s="993"/>
      <c r="BJ12" s="947" t="s">
        <v>36</v>
      </c>
      <c r="BK12" s="952">
        <v>0.19</v>
      </c>
      <c r="BL12" s="953">
        <v>0.37</v>
      </c>
      <c r="BM12" s="953">
        <v>0.33</v>
      </c>
      <c r="BN12" s="953" t="s">
        <v>350</v>
      </c>
      <c r="BO12" s="954">
        <v>0.44</v>
      </c>
      <c r="BP12" s="959">
        <v>0.33</v>
      </c>
      <c r="BQ12" s="951" t="s">
        <v>350</v>
      </c>
    </row>
    <row r="13" spans="2:69" ht="13.5" thickBot="1" x14ac:dyDescent="0.25">
      <c r="B13" s="1028" t="s">
        <v>348</v>
      </c>
      <c r="C13" s="1119">
        <v>0.56000000000000005</v>
      </c>
      <c r="D13" s="1050">
        <v>0.56000000000000005</v>
      </c>
      <c r="E13" s="1050">
        <v>0.68</v>
      </c>
      <c r="F13" s="1050">
        <v>0.65</v>
      </c>
      <c r="G13" s="1050">
        <v>0.63</v>
      </c>
      <c r="H13" s="1050">
        <v>0.56000000000000005</v>
      </c>
      <c r="I13" s="1050">
        <v>0.55000000000000004</v>
      </c>
      <c r="J13" s="1050">
        <v>0.55000000000000004</v>
      </c>
      <c r="K13" s="1050">
        <v>0.65</v>
      </c>
      <c r="L13" s="1050">
        <v>0.6</v>
      </c>
      <c r="M13" s="1050">
        <v>0.55000000000000004</v>
      </c>
      <c r="N13" s="1051">
        <v>0.3</v>
      </c>
      <c r="O13" s="1052">
        <v>0.45</v>
      </c>
      <c r="P13" s="993"/>
      <c r="Q13" s="1000" t="s">
        <v>351</v>
      </c>
      <c r="R13" s="1059"/>
      <c r="S13" s="1059"/>
      <c r="T13" s="1059"/>
      <c r="U13" s="1059"/>
      <c r="V13" s="1059"/>
      <c r="W13" s="1059"/>
      <c r="X13" s="1059"/>
      <c r="Y13" s="1059"/>
      <c r="Z13" s="1059"/>
      <c r="AA13" s="1059"/>
      <c r="AB13" s="1059"/>
      <c r="AC13" s="1059"/>
      <c r="AD13" s="1060"/>
      <c r="AE13" s="993"/>
      <c r="AF13" s="1000" t="s">
        <v>81</v>
      </c>
      <c r="AG13" s="1001"/>
      <c r="AH13" s="1001"/>
      <c r="AI13" s="1001"/>
      <c r="AJ13" s="1001"/>
      <c r="AK13" s="1001"/>
      <c r="AL13" s="1001"/>
      <c r="AM13" s="1001"/>
      <c r="AN13" s="1001"/>
      <c r="AO13" s="1001"/>
      <c r="AP13" s="1001"/>
      <c r="AQ13" s="1001"/>
      <c r="AR13" s="1001"/>
      <c r="AS13" s="1002"/>
      <c r="AT13" s="993"/>
      <c r="AU13" s="1000" t="s">
        <v>92</v>
      </c>
      <c r="AV13" s="1003"/>
      <c r="AW13" s="1003"/>
      <c r="AX13" s="1003"/>
      <c r="AY13" s="1003"/>
      <c r="AZ13" s="1003"/>
      <c r="BA13" s="1003"/>
      <c r="BB13" s="1003"/>
      <c r="BC13" s="1003"/>
      <c r="BD13" s="1003"/>
      <c r="BE13" s="1003"/>
      <c r="BF13" s="1003"/>
      <c r="BG13" s="1003"/>
      <c r="BH13" s="1004"/>
      <c r="BI13" s="993"/>
      <c r="BJ13" s="947" t="s">
        <v>364</v>
      </c>
      <c r="BK13" s="952">
        <v>0.39</v>
      </c>
      <c r="BL13" s="953">
        <v>0.19</v>
      </c>
      <c r="BM13" s="953">
        <v>0.17</v>
      </c>
      <c r="BN13" s="953" t="s">
        <v>350</v>
      </c>
      <c r="BO13" s="954" t="s">
        <v>350</v>
      </c>
      <c r="BP13" s="959">
        <v>0.33</v>
      </c>
      <c r="BQ13" s="951" t="s">
        <v>350</v>
      </c>
    </row>
    <row r="14" spans="2:69" ht="12.75" customHeight="1" thickBot="1" x14ac:dyDescent="0.25">
      <c r="B14" s="1016" t="s">
        <v>355</v>
      </c>
      <c r="C14" s="1003"/>
      <c r="D14" s="1003"/>
      <c r="E14" s="1003"/>
      <c r="F14" s="1003"/>
      <c r="G14" s="1003"/>
      <c r="H14" s="1003"/>
      <c r="I14" s="1003"/>
      <c r="J14" s="1003"/>
      <c r="K14" s="1003"/>
      <c r="L14" s="1003"/>
      <c r="M14" s="1003"/>
      <c r="N14" s="1003"/>
      <c r="O14" s="1004"/>
      <c r="P14" s="1181"/>
      <c r="Q14" s="1011" t="s">
        <v>340</v>
      </c>
      <c r="R14" s="1012">
        <v>1</v>
      </c>
      <c r="S14" s="1013">
        <v>2</v>
      </c>
      <c r="T14" s="1013">
        <v>3</v>
      </c>
      <c r="U14" s="1013">
        <v>4</v>
      </c>
      <c r="V14" s="1013">
        <v>5</v>
      </c>
      <c r="W14" s="1013">
        <v>6</v>
      </c>
      <c r="X14" s="1013">
        <v>7</v>
      </c>
      <c r="Y14" s="1013">
        <v>8</v>
      </c>
      <c r="Z14" s="1013">
        <v>9</v>
      </c>
      <c r="AA14" s="1013">
        <v>10</v>
      </c>
      <c r="AB14" s="1013">
        <v>11</v>
      </c>
      <c r="AC14" s="1014">
        <v>12</v>
      </c>
      <c r="AD14" s="1015" t="s">
        <v>341</v>
      </c>
      <c r="AE14" s="993"/>
      <c r="AF14" s="1011" t="s">
        <v>340</v>
      </c>
      <c r="AG14" s="1012">
        <v>1</v>
      </c>
      <c r="AH14" s="1013">
        <v>2</v>
      </c>
      <c r="AI14" s="1013">
        <v>3</v>
      </c>
      <c r="AJ14" s="1013">
        <v>4</v>
      </c>
      <c r="AK14" s="1013">
        <v>5</v>
      </c>
      <c r="AL14" s="1013">
        <v>6</v>
      </c>
      <c r="AM14" s="1013">
        <v>7</v>
      </c>
      <c r="AN14" s="1013">
        <v>8</v>
      </c>
      <c r="AO14" s="1013">
        <v>9</v>
      </c>
      <c r="AP14" s="1013">
        <v>10</v>
      </c>
      <c r="AQ14" s="1013">
        <v>11</v>
      </c>
      <c r="AR14" s="1014">
        <v>12</v>
      </c>
      <c r="AS14" s="1015" t="s">
        <v>341</v>
      </c>
      <c r="AT14" s="993"/>
      <c r="AU14" s="1011" t="s">
        <v>340</v>
      </c>
      <c r="AV14" s="1012">
        <v>1</v>
      </c>
      <c r="AW14" s="1013">
        <v>2</v>
      </c>
      <c r="AX14" s="1013">
        <v>3</v>
      </c>
      <c r="AY14" s="1013">
        <v>4</v>
      </c>
      <c r="AZ14" s="1013">
        <v>5</v>
      </c>
      <c r="BA14" s="1013">
        <v>6</v>
      </c>
      <c r="BB14" s="1013">
        <v>7</v>
      </c>
      <c r="BC14" s="1013">
        <v>8</v>
      </c>
      <c r="BD14" s="1013">
        <v>9</v>
      </c>
      <c r="BE14" s="1013">
        <v>10</v>
      </c>
      <c r="BF14" s="1013">
        <v>11</v>
      </c>
      <c r="BG14" s="1014">
        <v>12</v>
      </c>
      <c r="BH14" s="1015" t="s">
        <v>341</v>
      </c>
      <c r="BI14" s="993"/>
      <c r="BJ14" s="947" t="s">
        <v>365</v>
      </c>
      <c r="BK14" s="955">
        <v>0.2</v>
      </c>
      <c r="BL14" s="956">
        <v>0.28000000000000003</v>
      </c>
      <c r="BM14" s="956">
        <v>0.22</v>
      </c>
      <c r="BN14" s="957" t="s">
        <v>350</v>
      </c>
      <c r="BO14" s="958" t="s">
        <v>350</v>
      </c>
      <c r="BP14" s="959">
        <v>0.24</v>
      </c>
      <c r="BQ14" s="959" t="s">
        <v>350</v>
      </c>
    </row>
    <row r="15" spans="2:69" ht="13.5" thickBot="1" x14ac:dyDescent="0.25">
      <c r="B15" s="1028" t="s">
        <v>340</v>
      </c>
      <c r="C15" s="1012">
        <v>1</v>
      </c>
      <c r="D15" s="1013">
        <v>2</v>
      </c>
      <c r="E15" s="1013">
        <v>3</v>
      </c>
      <c r="F15" s="1013">
        <v>4</v>
      </c>
      <c r="G15" s="1013">
        <v>5</v>
      </c>
      <c r="H15" s="1013">
        <v>6</v>
      </c>
      <c r="I15" s="1013">
        <v>7</v>
      </c>
      <c r="J15" s="1013">
        <v>8</v>
      </c>
      <c r="K15" s="1013">
        <v>9</v>
      </c>
      <c r="L15" s="1013">
        <v>10</v>
      </c>
      <c r="M15" s="1013">
        <v>11</v>
      </c>
      <c r="N15" s="1014">
        <v>12</v>
      </c>
      <c r="O15" s="1015" t="s">
        <v>341</v>
      </c>
      <c r="P15" s="1182"/>
      <c r="Q15" s="1023" t="s">
        <v>342</v>
      </c>
      <c r="R15" s="1024" t="s">
        <v>350</v>
      </c>
      <c r="S15" s="1025" t="s">
        <v>343</v>
      </c>
      <c r="T15" s="1025" t="s">
        <v>343</v>
      </c>
      <c r="U15" s="1025" t="s">
        <v>343</v>
      </c>
      <c r="V15" s="1025" t="s">
        <v>350</v>
      </c>
      <c r="W15" s="1025">
        <v>4.99</v>
      </c>
      <c r="X15" s="1025">
        <v>7.24</v>
      </c>
      <c r="Y15" s="1025">
        <v>7.61</v>
      </c>
      <c r="Z15" s="1025">
        <v>5.75</v>
      </c>
      <c r="AA15" s="1025">
        <v>4.5</v>
      </c>
      <c r="AB15" s="1025" t="s">
        <v>350</v>
      </c>
      <c r="AC15" s="1062" t="s">
        <v>343</v>
      </c>
      <c r="AD15" s="1063">
        <v>5.75</v>
      </c>
      <c r="AE15" s="993"/>
      <c r="AF15" s="1023" t="s">
        <v>342</v>
      </c>
      <c r="AG15" s="1024">
        <v>3.21</v>
      </c>
      <c r="AH15" s="1025">
        <v>3.31</v>
      </c>
      <c r="AI15" s="1025">
        <v>3.3</v>
      </c>
      <c r="AJ15" s="1025">
        <v>3.1</v>
      </c>
      <c r="AK15" s="1025">
        <v>2.2400000000000002</v>
      </c>
      <c r="AL15" s="1025">
        <v>2.8</v>
      </c>
      <c r="AM15" s="1025">
        <v>3.28</v>
      </c>
      <c r="AN15" s="1025">
        <v>3.19</v>
      </c>
      <c r="AO15" s="1025">
        <v>3.14</v>
      </c>
      <c r="AP15" s="1025">
        <v>2.73</v>
      </c>
      <c r="AQ15" s="1025">
        <v>3.2</v>
      </c>
      <c r="AR15" s="1026">
        <v>2.98</v>
      </c>
      <c r="AS15" s="1064">
        <v>3.02</v>
      </c>
      <c r="AT15" s="993"/>
      <c r="AU15" s="1023" t="s">
        <v>342</v>
      </c>
      <c r="AV15" s="1024">
        <v>4.76</v>
      </c>
      <c r="AW15" s="1025">
        <v>4.95</v>
      </c>
      <c r="AX15" s="1025">
        <v>4.54</v>
      </c>
      <c r="AY15" s="1025">
        <v>2.82</v>
      </c>
      <c r="AZ15" s="1025" t="s">
        <v>350</v>
      </c>
      <c r="BA15" s="1065" t="s">
        <v>350</v>
      </c>
      <c r="BB15" s="1025" t="s">
        <v>343</v>
      </c>
      <c r="BC15" s="1025" t="s">
        <v>350</v>
      </c>
      <c r="BD15" s="1025" t="s">
        <v>350</v>
      </c>
      <c r="BE15" s="1025">
        <v>2.16</v>
      </c>
      <c r="BF15" s="1025" t="s">
        <v>350</v>
      </c>
      <c r="BG15" s="1026" t="s">
        <v>350</v>
      </c>
      <c r="BH15" s="1027">
        <v>4.41</v>
      </c>
      <c r="BI15" s="993"/>
      <c r="BJ15" s="960" t="s">
        <v>366</v>
      </c>
      <c r="BK15" s="961" t="s">
        <v>342</v>
      </c>
      <c r="BL15" s="962" t="s">
        <v>344</v>
      </c>
      <c r="BM15" s="962" t="s">
        <v>345</v>
      </c>
      <c r="BN15" s="962" t="s">
        <v>346</v>
      </c>
      <c r="BO15" s="962" t="s">
        <v>347</v>
      </c>
      <c r="BP15" s="962" t="s">
        <v>348</v>
      </c>
      <c r="BQ15" s="963" t="s">
        <v>352</v>
      </c>
    </row>
    <row r="16" spans="2:69" x14ac:dyDescent="0.2">
      <c r="B16" s="947" t="s">
        <v>342</v>
      </c>
      <c r="C16" s="1018" t="s">
        <v>343</v>
      </c>
      <c r="D16" s="1019" t="s">
        <v>343</v>
      </c>
      <c r="E16" s="1019" t="s">
        <v>343</v>
      </c>
      <c r="F16" s="1019" t="s">
        <v>343</v>
      </c>
      <c r="G16" s="1019" t="s">
        <v>343</v>
      </c>
      <c r="H16" s="1019" t="s">
        <v>343</v>
      </c>
      <c r="I16" s="1019" t="s">
        <v>343</v>
      </c>
      <c r="J16" s="1019" t="s">
        <v>343</v>
      </c>
      <c r="K16" s="1019" t="s">
        <v>343</v>
      </c>
      <c r="L16" s="1019" t="s">
        <v>343</v>
      </c>
      <c r="M16" s="1019" t="s">
        <v>343</v>
      </c>
      <c r="N16" s="1083" t="s">
        <v>343</v>
      </c>
      <c r="O16" s="946" t="s">
        <v>343</v>
      </c>
      <c r="P16" s="1182"/>
      <c r="Q16" s="1023" t="s">
        <v>344</v>
      </c>
      <c r="R16" s="1035" t="s">
        <v>350</v>
      </c>
      <c r="S16" s="1036" t="s">
        <v>350</v>
      </c>
      <c r="T16" s="1036" t="s">
        <v>350</v>
      </c>
      <c r="U16" s="1036" t="s">
        <v>350</v>
      </c>
      <c r="V16" s="1036">
        <v>5.08</v>
      </c>
      <c r="W16" s="1036">
        <v>4.91</v>
      </c>
      <c r="X16" s="1036">
        <v>5.24</v>
      </c>
      <c r="Y16" s="1036">
        <v>5.09</v>
      </c>
      <c r="Z16" s="1036">
        <v>5.08</v>
      </c>
      <c r="AA16" s="1036">
        <v>4.93</v>
      </c>
      <c r="AB16" s="1036">
        <v>5.3</v>
      </c>
      <c r="AC16" s="1037">
        <v>5.21</v>
      </c>
      <c r="AD16" s="1038">
        <v>5.08</v>
      </c>
      <c r="AE16" s="993"/>
      <c r="AF16" s="1023" t="s">
        <v>344</v>
      </c>
      <c r="AG16" s="1035">
        <v>2.56</v>
      </c>
      <c r="AH16" s="1036">
        <v>2.56</v>
      </c>
      <c r="AI16" s="1036">
        <v>2.67</v>
      </c>
      <c r="AJ16" s="1036">
        <v>1.54</v>
      </c>
      <c r="AK16" s="1036">
        <v>1.34</v>
      </c>
      <c r="AL16" s="1036">
        <v>2.11</v>
      </c>
      <c r="AM16" s="1036">
        <v>2.21</v>
      </c>
      <c r="AN16" s="1036">
        <v>2.1</v>
      </c>
      <c r="AO16" s="1036">
        <v>1.81</v>
      </c>
      <c r="AP16" s="1036">
        <v>1.98</v>
      </c>
      <c r="AQ16" s="1036">
        <v>1.91</v>
      </c>
      <c r="AR16" s="1037">
        <v>1.83</v>
      </c>
      <c r="AS16" s="1038">
        <v>1.85</v>
      </c>
      <c r="AT16" s="993"/>
      <c r="AU16" s="1023" t="s">
        <v>344</v>
      </c>
      <c r="AV16" s="1035">
        <v>4.21</v>
      </c>
      <c r="AW16" s="1036">
        <v>4.18</v>
      </c>
      <c r="AX16" s="1036">
        <v>3.42</v>
      </c>
      <c r="AY16" s="1066" t="s">
        <v>350</v>
      </c>
      <c r="AZ16" s="1066" t="s">
        <v>343</v>
      </c>
      <c r="BA16" s="953" t="s">
        <v>350</v>
      </c>
      <c r="BB16" s="953" t="s">
        <v>343</v>
      </c>
      <c r="BC16" s="953" t="s">
        <v>343</v>
      </c>
      <c r="BD16" s="953" t="s">
        <v>343</v>
      </c>
      <c r="BE16" s="953" t="s">
        <v>343</v>
      </c>
      <c r="BF16" s="953" t="s">
        <v>350</v>
      </c>
      <c r="BG16" s="1067">
        <v>6.5</v>
      </c>
      <c r="BH16" s="1038">
        <v>4.28</v>
      </c>
      <c r="BI16" s="993"/>
      <c r="BJ16" s="941" t="s">
        <v>367</v>
      </c>
      <c r="BK16" s="964">
        <v>5.91</v>
      </c>
      <c r="BL16" s="965">
        <v>4.2300000000000004</v>
      </c>
      <c r="BM16" s="965">
        <v>5.66</v>
      </c>
      <c r="BN16" s="965" t="s">
        <v>350</v>
      </c>
      <c r="BO16" s="966">
        <v>6.49</v>
      </c>
      <c r="BP16" s="967">
        <v>5.38</v>
      </c>
      <c r="BQ16" s="968" t="s">
        <v>350</v>
      </c>
    </row>
    <row r="17" spans="2:69" x14ac:dyDescent="0.2">
      <c r="B17" s="947" t="s">
        <v>344</v>
      </c>
      <c r="C17" s="1176">
        <v>0.47</v>
      </c>
      <c r="D17" s="1177">
        <v>0.5</v>
      </c>
      <c r="E17" s="1177" t="s">
        <v>343</v>
      </c>
      <c r="F17" s="1177">
        <v>0.5</v>
      </c>
      <c r="G17" s="1177">
        <v>0.5</v>
      </c>
      <c r="H17" s="1177">
        <v>0.53</v>
      </c>
      <c r="I17" s="1030">
        <v>0.55000000000000004</v>
      </c>
      <c r="J17" s="1177">
        <v>0.5</v>
      </c>
      <c r="K17" s="1177">
        <v>0.51</v>
      </c>
      <c r="L17" s="1177">
        <v>0.49</v>
      </c>
      <c r="M17" s="1177">
        <v>0.5</v>
      </c>
      <c r="N17" s="1179">
        <v>0.51</v>
      </c>
      <c r="O17" s="1034">
        <v>0.5</v>
      </c>
      <c r="P17" s="1182"/>
      <c r="Q17" s="1023" t="s">
        <v>345</v>
      </c>
      <c r="R17" s="1035" t="s">
        <v>350</v>
      </c>
      <c r="S17" s="1036" t="s">
        <v>350</v>
      </c>
      <c r="T17" s="1036" t="s">
        <v>350</v>
      </c>
      <c r="U17" s="1036" t="s">
        <v>350</v>
      </c>
      <c r="V17" s="1036">
        <v>5.19</v>
      </c>
      <c r="W17" s="1036">
        <v>5.98</v>
      </c>
      <c r="X17" s="1036">
        <v>6.19</v>
      </c>
      <c r="Y17" s="1036">
        <v>6.2</v>
      </c>
      <c r="Z17" s="1036">
        <v>6.01</v>
      </c>
      <c r="AA17" s="1036">
        <v>5.15</v>
      </c>
      <c r="AB17" s="1036">
        <v>5.71</v>
      </c>
      <c r="AC17" s="1037">
        <v>5.26</v>
      </c>
      <c r="AD17" s="1038">
        <v>5.74</v>
      </c>
      <c r="AE17" s="993"/>
      <c r="AF17" s="1023" t="s">
        <v>345</v>
      </c>
      <c r="AG17" s="1035">
        <v>1.65</v>
      </c>
      <c r="AH17" s="1036">
        <v>1.6</v>
      </c>
      <c r="AI17" s="1036">
        <v>1.49</v>
      </c>
      <c r="AJ17" s="1036">
        <v>1.59</v>
      </c>
      <c r="AK17" s="1036">
        <v>1.1100000000000001</v>
      </c>
      <c r="AL17" s="1036">
        <v>1.26</v>
      </c>
      <c r="AM17" s="1036">
        <v>2.65</v>
      </c>
      <c r="AN17" s="1036">
        <v>2.5499999999999998</v>
      </c>
      <c r="AO17" s="1036">
        <v>2.4300000000000002</v>
      </c>
      <c r="AP17" s="1036">
        <v>2.44</v>
      </c>
      <c r="AQ17" s="1036">
        <v>2.39</v>
      </c>
      <c r="AR17" s="1037">
        <v>2.34</v>
      </c>
      <c r="AS17" s="1038">
        <v>1.78</v>
      </c>
      <c r="AT17" s="993"/>
      <c r="AU17" s="1023" t="s">
        <v>345</v>
      </c>
      <c r="AV17" s="1035">
        <v>5.36</v>
      </c>
      <c r="AW17" s="1036">
        <v>5.52</v>
      </c>
      <c r="AX17" s="1036">
        <v>5.0999999999999996</v>
      </c>
      <c r="AY17" s="1036" t="s">
        <v>350</v>
      </c>
      <c r="AZ17" s="1036" t="s">
        <v>350</v>
      </c>
      <c r="BA17" s="953" t="s">
        <v>343</v>
      </c>
      <c r="BB17" s="953" t="s">
        <v>343</v>
      </c>
      <c r="BC17" s="953" t="s">
        <v>350</v>
      </c>
      <c r="BD17" s="953" t="s">
        <v>343</v>
      </c>
      <c r="BE17" s="1032" t="s">
        <v>350</v>
      </c>
      <c r="BF17" s="1036" t="s">
        <v>350</v>
      </c>
      <c r="BG17" s="1037" t="s">
        <v>350</v>
      </c>
      <c r="BH17" s="1038">
        <v>5.37</v>
      </c>
      <c r="BI17" s="993"/>
      <c r="BJ17" s="947" t="s">
        <v>368</v>
      </c>
      <c r="BK17" s="969">
        <v>5.75</v>
      </c>
      <c r="BL17" s="949">
        <v>5.08</v>
      </c>
      <c r="BM17" s="949">
        <v>5.74</v>
      </c>
      <c r="BN17" s="949" t="s">
        <v>350</v>
      </c>
      <c r="BO17" s="950" t="s">
        <v>350</v>
      </c>
      <c r="BP17" s="951">
        <v>5.25</v>
      </c>
      <c r="BQ17" s="970" t="s">
        <v>350</v>
      </c>
    </row>
    <row r="18" spans="2:69" x14ac:dyDescent="0.2">
      <c r="B18" s="947" t="s">
        <v>345</v>
      </c>
      <c r="C18" s="1176">
        <v>0.42</v>
      </c>
      <c r="D18" s="1177">
        <v>0.51</v>
      </c>
      <c r="E18" s="1177">
        <v>0.52</v>
      </c>
      <c r="F18" s="1177">
        <v>0.56000000000000005</v>
      </c>
      <c r="G18" s="1177">
        <v>0.5</v>
      </c>
      <c r="H18" s="1177">
        <v>0.53</v>
      </c>
      <c r="I18" s="1177">
        <v>0.52</v>
      </c>
      <c r="J18" s="1177" t="s">
        <v>343</v>
      </c>
      <c r="K18" s="1177">
        <v>0.56999999999999995</v>
      </c>
      <c r="L18" s="1177">
        <v>0.48</v>
      </c>
      <c r="M18" s="1177">
        <v>0.39</v>
      </c>
      <c r="N18" s="1179">
        <v>0.52</v>
      </c>
      <c r="O18" s="1034">
        <v>0.48</v>
      </c>
      <c r="P18" s="1182"/>
      <c r="Q18" s="1023" t="s">
        <v>346</v>
      </c>
      <c r="R18" s="1035" t="s">
        <v>350</v>
      </c>
      <c r="S18" s="1036" t="s">
        <v>350</v>
      </c>
      <c r="T18" s="1036" t="s">
        <v>350</v>
      </c>
      <c r="U18" s="1036" t="s">
        <v>350</v>
      </c>
      <c r="V18" s="1036" t="s">
        <v>350</v>
      </c>
      <c r="W18" s="1036" t="s">
        <v>350</v>
      </c>
      <c r="X18" s="1036" t="s">
        <v>350</v>
      </c>
      <c r="Y18" s="1036" t="s">
        <v>350</v>
      </c>
      <c r="Z18" s="1036" t="s">
        <v>350</v>
      </c>
      <c r="AA18" s="1036" t="s">
        <v>350</v>
      </c>
      <c r="AB18" s="1036" t="s">
        <v>350</v>
      </c>
      <c r="AC18" s="1037" t="s">
        <v>350</v>
      </c>
      <c r="AD18" s="1038" t="s">
        <v>350</v>
      </c>
      <c r="AE18" s="993"/>
      <c r="AF18" s="1023" t="s">
        <v>346</v>
      </c>
      <c r="AG18" s="1035">
        <v>1.8</v>
      </c>
      <c r="AH18" s="1036">
        <v>1.76</v>
      </c>
      <c r="AI18" s="1036">
        <v>1.73</v>
      </c>
      <c r="AJ18" s="1036">
        <v>1.1299999999999999</v>
      </c>
      <c r="AK18" s="1036">
        <v>0.8</v>
      </c>
      <c r="AL18" s="1036">
        <v>0.98</v>
      </c>
      <c r="AM18" s="1036">
        <v>2.38</v>
      </c>
      <c r="AN18" s="1036">
        <v>2.31</v>
      </c>
      <c r="AO18" s="1036">
        <v>1.53</v>
      </c>
      <c r="AP18" s="1036">
        <v>1.31</v>
      </c>
      <c r="AQ18" s="1036">
        <v>1.71</v>
      </c>
      <c r="AR18" s="1037">
        <v>1.94</v>
      </c>
      <c r="AS18" s="1038">
        <v>1.25</v>
      </c>
      <c r="AT18" s="993"/>
      <c r="AU18" s="1023" t="s">
        <v>346</v>
      </c>
      <c r="AV18" s="1035">
        <v>4.2</v>
      </c>
      <c r="AW18" s="1036">
        <v>4.2300000000000004</v>
      </c>
      <c r="AX18" s="1036">
        <v>4.2699999999999996</v>
      </c>
      <c r="AY18" s="1036" t="s">
        <v>343</v>
      </c>
      <c r="AZ18" s="953" t="s">
        <v>343</v>
      </c>
      <c r="BA18" s="953" t="s">
        <v>343</v>
      </c>
      <c r="BB18" s="953" t="s">
        <v>343</v>
      </c>
      <c r="BC18" s="953" t="s">
        <v>343</v>
      </c>
      <c r="BD18" s="953" t="s">
        <v>343</v>
      </c>
      <c r="BE18" s="953" t="s">
        <v>343</v>
      </c>
      <c r="BF18" s="1036" t="s">
        <v>343</v>
      </c>
      <c r="BG18" s="1037" t="s">
        <v>350</v>
      </c>
      <c r="BH18" s="1038">
        <v>4.22</v>
      </c>
      <c r="BI18" s="993"/>
      <c r="BJ18" s="947" t="s">
        <v>103</v>
      </c>
      <c r="BK18" s="969">
        <v>3.86</v>
      </c>
      <c r="BL18" s="949">
        <v>4.57</v>
      </c>
      <c r="BM18" s="949">
        <v>5.68</v>
      </c>
      <c r="BN18" s="949">
        <v>4.43</v>
      </c>
      <c r="BO18" s="950">
        <v>5.71</v>
      </c>
      <c r="BP18" s="951">
        <v>4.46</v>
      </c>
      <c r="BQ18" s="970" t="s">
        <v>350</v>
      </c>
    </row>
    <row r="19" spans="2:69" ht="12.75" customHeight="1" thickBot="1" x14ac:dyDescent="0.25">
      <c r="B19" s="947" t="s">
        <v>346</v>
      </c>
      <c r="C19" s="1029" t="s">
        <v>343</v>
      </c>
      <c r="D19" s="1030" t="s">
        <v>343</v>
      </c>
      <c r="E19" s="1030" t="s">
        <v>343</v>
      </c>
      <c r="F19" s="1030" t="s">
        <v>343</v>
      </c>
      <c r="G19" s="1030" t="s">
        <v>343</v>
      </c>
      <c r="H19" s="1030" t="s">
        <v>343</v>
      </c>
      <c r="I19" s="1030" t="s">
        <v>343</v>
      </c>
      <c r="J19" s="1030" t="s">
        <v>343</v>
      </c>
      <c r="K19" s="1030" t="s">
        <v>343</v>
      </c>
      <c r="L19" s="1030" t="s">
        <v>343</v>
      </c>
      <c r="M19" s="1030" t="s">
        <v>343</v>
      </c>
      <c r="N19" s="1087" t="s">
        <v>343</v>
      </c>
      <c r="O19" s="1034" t="s">
        <v>343</v>
      </c>
      <c r="P19" s="1182"/>
      <c r="Q19" s="1023" t="s">
        <v>347</v>
      </c>
      <c r="R19" s="1040" t="s">
        <v>350</v>
      </c>
      <c r="S19" s="957" t="s">
        <v>350</v>
      </c>
      <c r="T19" s="957" t="s">
        <v>343</v>
      </c>
      <c r="U19" s="1047" t="s">
        <v>343</v>
      </c>
      <c r="V19" s="1047" t="s">
        <v>343</v>
      </c>
      <c r="W19" s="1044" t="s">
        <v>350</v>
      </c>
      <c r="X19" s="1044" t="s">
        <v>350</v>
      </c>
      <c r="Y19" s="957" t="s">
        <v>343</v>
      </c>
      <c r="Z19" s="957" t="s">
        <v>343</v>
      </c>
      <c r="AA19" s="957" t="s">
        <v>350</v>
      </c>
      <c r="AB19" s="957" t="s">
        <v>343</v>
      </c>
      <c r="AC19" s="958" t="s">
        <v>343</v>
      </c>
      <c r="AD19" s="1046" t="s">
        <v>350</v>
      </c>
      <c r="AE19" s="993"/>
      <c r="AF19" s="1023" t="s">
        <v>347</v>
      </c>
      <c r="AG19" s="1043" t="s">
        <v>350</v>
      </c>
      <c r="AH19" s="1044" t="s">
        <v>350</v>
      </c>
      <c r="AI19" s="1044" t="s">
        <v>350</v>
      </c>
      <c r="AJ19" s="1044">
        <v>2.39</v>
      </c>
      <c r="AK19" s="1044">
        <v>1.89</v>
      </c>
      <c r="AL19" s="1044" t="s">
        <v>350</v>
      </c>
      <c r="AM19" s="1044">
        <v>2.8</v>
      </c>
      <c r="AN19" s="1044">
        <v>2.69</v>
      </c>
      <c r="AO19" s="1044">
        <v>2.74</v>
      </c>
      <c r="AP19" s="1044">
        <v>2.2599999999999998</v>
      </c>
      <c r="AQ19" s="1044">
        <v>2.06</v>
      </c>
      <c r="AR19" s="1048" t="s">
        <v>343</v>
      </c>
      <c r="AS19" s="1046">
        <v>2.42</v>
      </c>
      <c r="AT19" s="993"/>
      <c r="AU19" s="1023" t="s">
        <v>347</v>
      </c>
      <c r="AV19" s="1043">
        <v>5.64</v>
      </c>
      <c r="AW19" s="1044">
        <v>5.92</v>
      </c>
      <c r="AX19" s="1044">
        <v>4.49</v>
      </c>
      <c r="AY19" s="957" t="s">
        <v>343</v>
      </c>
      <c r="AZ19" s="957" t="s">
        <v>343</v>
      </c>
      <c r="BA19" s="957" t="s">
        <v>343</v>
      </c>
      <c r="BB19" s="957" t="s">
        <v>343</v>
      </c>
      <c r="BC19" s="957" t="s">
        <v>343</v>
      </c>
      <c r="BD19" s="957" t="s">
        <v>343</v>
      </c>
      <c r="BE19" s="1047" t="s">
        <v>343</v>
      </c>
      <c r="BF19" s="957" t="s">
        <v>343</v>
      </c>
      <c r="BG19" s="958" t="s">
        <v>343</v>
      </c>
      <c r="BH19" s="1046">
        <v>5.69</v>
      </c>
      <c r="BI19" s="993"/>
      <c r="BJ19" s="947" t="s">
        <v>452</v>
      </c>
      <c r="BK19" s="971" t="s">
        <v>343</v>
      </c>
      <c r="BL19" s="953" t="s">
        <v>350</v>
      </c>
      <c r="BM19" s="953" t="s">
        <v>350</v>
      </c>
      <c r="BN19" s="953">
        <v>3.16</v>
      </c>
      <c r="BO19" s="954">
        <v>1.8</v>
      </c>
      <c r="BP19" s="951">
        <v>3.03</v>
      </c>
      <c r="BQ19" s="970" t="s">
        <v>343</v>
      </c>
    </row>
    <row r="20" spans="2:69" ht="12.75" customHeight="1" thickBot="1" x14ac:dyDescent="0.25">
      <c r="B20" s="947" t="s">
        <v>347</v>
      </c>
      <c r="C20" s="955" t="s">
        <v>343</v>
      </c>
      <c r="D20" s="956" t="s">
        <v>343</v>
      </c>
      <c r="E20" s="956" t="s">
        <v>343</v>
      </c>
      <c r="F20" s="956" t="s">
        <v>343</v>
      </c>
      <c r="G20" s="956" t="s">
        <v>343</v>
      </c>
      <c r="H20" s="956" t="s">
        <v>343</v>
      </c>
      <c r="I20" s="956" t="s">
        <v>343</v>
      </c>
      <c r="J20" s="956" t="s">
        <v>343</v>
      </c>
      <c r="K20" s="956" t="s">
        <v>343</v>
      </c>
      <c r="L20" s="956" t="s">
        <v>343</v>
      </c>
      <c r="M20" s="956" t="s">
        <v>343</v>
      </c>
      <c r="N20" s="1088" t="s">
        <v>343</v>
      </c>
      <c r="O20" s="1042" t="s">
        <v>343</v>
      </c>
      <c r="P20" s="1182"/>
      <c r="Q20" s="1011" t="s">
        <v>348</v>
      </c>
      <c r="R20" s="1053" t="s">
        <v>350</v>
      </c>
      <c r="S20" s="1054" t="s">
        <v>350</v>
      </c>
      <c r="T20" s="1054" t="s">
        <v>350</v>
      </c>
      <c r="U20" s="1054" t="s">
        <v>350</v>
      </c>
      <c r="V20" s="1054">
        <v>5.01</v>
      </c>
      <c r="W20" s="1054">
        <v>5.13</v>
      </c>
      <c r="X20" s="1054">
        <v>5.77</v>
      </c>
      <c r="Y20" s="1054">
        <v>5.67</v>
      </c>
      <c r="Z20" s="1054">
        <v>5.29</v>
      </c>
      <c r="AA20" s="1054">
        <v>4.43</v>
      </c>
      <c r="AB20" s="1054">
        <v>4.9800000000000004</v>
      </c>
      <c r="AC20" s="1055">
        <v>4.4800000000000004</v>
      </c>
      <c r="AD20" s="1052">
        <v>5.25</v>
      </c>
      <c r="AE20" s="993"/>
      <c r="AF20" s="1011" t="s">
        <v>348</v>
      </c>
      <c r="AG20" s="1053">
        <v>2.1800000000000002</v>
      </c>
      <c r="AH20" s="1054">
        <v>2.02</v>
      </c>
      <c r="AI20" s="1054">
        <v>1.94</v>
      </c>
      <c r="AJ20" s="1054">
        <v>1.52</v>
      </c>
      <c r="AK20" s="1054">
        <v>1.0900000000000001</v>
      </c>
      <c r="AL20" s="1054">
        <v>1.47</v>
      </c>
      <c r="AM20" s="1054">
        <v>2.63</v>
      </c>
      <c r="AN20" s="1054">
        <v>2.5499999999999998</v>
      </c>
      <c r="AO20" s="1054">
        <v>2.4</v>
      </c>
      <c r="AP20" s="1054">
        <v>2.31</v>
      </c>
      <c r="AQ20" s="1054">
        <v>2.31</v>
      </c>
      <c r="AR20" s="1055">
        <v>2.23</v>
      </c>
      <c r="AS20" s="1052">
        <v>1.78</v>
      </c>
      <c r="AT20" s="993"/>
      <c r="AU20" s="1011" t="s">
        <v>348</v>
      </c>
      <c r="AV20" s="1053">
        <v>4.8099999999999996</v>
      </c>
      <c r="AW20" s="1054">
        <v>4.7699999999999996</v>
      </c>
      <c r="AX20" s="1054">
        <v>4.53</v>
      </c>
      <c r="AY20" s="1054">
        <v>3.02</v>
      </c>
      <c r="AZ20" s="1054" t="s">
        <v>350</v>
      </c>
      <c r="BA20" s="1050" t="s">
        <v>350</v>
      </c>
      <c r="BB20" s="1054" t="s">
        <v>343</v>
      </c>
      <c r="BC20" s="1054" t="s">
        <v>350</v>
      </c>
      <c r="BD20" s="1054" t="s">
        <v>350</v>
      </c>
      <c r="BE20" s="1054">
        <v>2.19</v>
      </c>
      <c r="BF20" s="1054">
        <v>1.65</v>
      </c>
      <c r="BG20" s="1055">
        <v>6.48</v>
      </c>
      <c r="BH20" s="1052">
        <v>4.76</v>
      </c>
      <c r="BI20" s="993"/>
      <c r="BJ20" s="947" t="s">
        <v>108</v>
      </c>
      <c r="BK20" s="971">
        <v>1.83</v>
      </c>
      <c r="BL20" s="953">
        <v>1.6</v>
      </c>
      <c r="BM20" s="953" t="s">
        <v>350</v>
      </c>
      <c r="BN20" s="953" t="s">
        <v>350</v>
      </c>
      <c r="BO20" s="954" t="s">
        <v>350</v>
      </c>
      <c r="BP20" s="951">
        <v>1.83</v>
      </c>
      <c r="BQ20" s="970">
        <v>4.33</v>
      </c>
    </row>
    <row r="21" spans="2:69" ht="13.5" thickBot="1" x14ac:dyDescent="0.25">
      <c r="B21" s="1028" t="s">
        <v>348</v>
      </c>
      <c r="C21" s="1119">
        <v>0.46</v>
      </c>
      <c r="D21" s="1050">
        <v>0.5</v>
      </c>
      <c r="E21" s="1050">
        <v>0.52</v>
      </c>
      <c r="F21" s="1050">
        <v>0.53</v>
      </c>
      <c r="G21" s="1050">
        <v>0.5</v>
      </c>
      <c r="H21" s="1050">
        <v>0.53</v>
      </c>
      <c r="I21" s="1050">
        <v>0.55000000000000004</v>
      </c>
      <c r="J21" s="1050">
        <v>0.5</v>
      </c>
      <c r="K21" s="1050">
        <v>0.51</v>
      </c>
      <c r="L21" s="1050">
        <v>0.49</v>
      </c>
      <c r="M21" s="1050">
        <v>0.46</v>
      </c>
      <c r="N21" s="1051">
        <v>0.51</v>
      </c>
      <c r="O21" s="1052">
        <v>0.49</v>
      </c>
      <c r="P21" s="1182"/>
      <c r="Q21" s="1180"/>
      <c r="R21" s="1180"/>
      <c r="S21" s="1180"/>
      <c r="T21" s="1180"/>
      <c r="U21" s="1180"/>
      <c r="V21" s="1180"/>
      <c r="W21" s="1180"/>
      <c r="X21" s="1180"/>
      <c r="Y21" s="1180"/>
      <c r="Z21" s="1180"/>
      <c r="AA21" s="1180"/>
      <c r="AB21" s="1180"/>
      <c r="AC21" s="1180"/>
      <c r="AD21" s="1056"/>
      <c r="AE21" s="993"/>
      <c r="AF21" s="1068" t="s">
        <v>359</v>
      </c>
      <c r="AG21" s="1183"/>
      <c r="AH21" s="1183"/>
      <c r="AI21" s="1183"/>
      <c r="AJ21" s="1183"/>
      <c r="AK21" s="1183"/>
      <c r="AL21" s="1183"/>
      <c r="AM21" s="1183"/>
      <c r="AN21" s="1183"/>
      <c r="AO21" s="1183"/>
      <c r="AP21" s="1183"/>
      <c r="AQ21" s="1183"/>
      <c r="AR21" s="1183"/>
      <c r="AS21" s="1184"/>
      <c r="AT21" s="993"/>
      <c r="AU21" s="1180"/>
      <c r="AV21" s="1180"/>
      <c r="AW21" s="1180"/>
      <c r="AX21" s="1180"/>
      <c r="AY21" s="1180"/>
      <c r="AZ21" s="1180"/>
      <c r="BA21" s="1180"/>
      <c r="BB21" s="1180"/>
      <c r="BC21" s="1180"/>
      <c r="BD21" s="1180"/>
      <c r="BE21" s="1180"/>
      <c r="BF21" s="1180"/>
      <c r="BG21" s="1180"/>
      <c r="BH21" s="1180"/>
      <c r="BI21" s="993"/>
      <c r="BJ21" s="947" t="s">
        <v>102</v>
      </c>
      <c r="BK21" s="971">
        <v>2.8</v>
      </c>
      <c r="BL21" s="953">
        <v>2.23</v>
      </c>
      <c r="BM21" s="953" t="s">
        <v>350</v>
      </c>
      <c r="BN21" s="953" t="s">
        <v>350</v>
      </c>
      <c r="BO21" s="954">
        <v>2.38</v>
      </c>
      <c r="BP21" s="951">
        <v>2.48</v>
      </c>
      <c r="BQ21" s="970" t="s">
        <v>350</v>
      </c>
    </row>
    <row r="22" spans="2:69" ht="13.5" thickBot="1" x14ac:dyDescent="0.25">
      <c r="B22" s="996" t="s">
        <v>542</v>
      </c>
      <c r="C22" s="1109"/>
      <c r="D22" s="1109"/>
      <c r="E22" s="1109"/>
      <c r="F22" s="1109"/>
      <c r="G22" s="1109"/>
      <c r="H22" s="1109"/>
      <c r="I22" s="1109"/>
      <c r="J22" s="1109"/>
      <c r="K22" s="1109"/>
      <c r="L22" s="1109"/>
      <c r="M22" s="1109"/>
      <c r="N22" s="1109"/>
      <c r="O22" s="1069"/>
      <c r="P22" s="993"/>
      <c r="Q22" s="1000" t="s">
        <v>85</v>
      </c>
      <c r="R22" s="1059"/>
      <c r="S22" s="1059"/>
      <c r="T22" s="1059"/>
      <c r="U22" s="1059"/>
      <c r="V22" s="1059"/>
      <c r="W22" s="1059"/>
      <c r="X22" s="1059"/>
      <c r="Y22" s="1059"/>
      <c r="Z22" s="1059"/>
      <c r="AA22" s="1059"/>
      <c r="AB22" s="1059"/>
      <c r="AC22" s="1059"/>
      <c r="AD22" s="1060"/>
      <c r="AE22" s="993"/>
      <c r="AF22" s="1028" t="s">
        <v>340</v>
      </c>
      <c r="AG22" s="1012">
        <v>1</v>
      </c>
      <c r="AH22" s="1013">
        <v>2</v>
      </c>
      <c r="AI22" s="1013">
        <v>3</v>
      </c>
      <c r="AJ22" s="1013">
        <v>4</v>
      </c>
      <c r="AK22" s="1013">
        <v>5</v>
      </c>
      <c r="AL22" s="1013">
        <v>6</v>
      </c>
      <c r="AM22" s="1013">
        <v>7</v>
      </c>
      <c r="AN22" s="1013">
        <v>8</v>
      </c>
      <c r="AO22" s="1013">
        <v>9</v>
      </c>
      <c r="AP22" s="1013">
        <v>10</v>
      </c>
      <c r="AQ22" s="1013">
        <v>11</v>
      </c>
      <c r="AR22" s="1014">
        <v>12</v>
      </c>
      <c r="AS22" s="1015" t="s">
        <v>341</v>
      </c>
      <c r="AT22" s="993"/>
      <c r="AU22" s="1000" t="s">
        <v>353</v>
      </c>
      <c r="AV22" s="1003"/>
      <c r="AW22" s="1003"/>
      <c r="AX22" s="1003"/>
      <c r="AY22" s="1003"/>
      <c r="AZ22" s="1003"/>
      <c r="BA22" s="1003"/>
      <c r="BB22" s="1003"/>
      <c r="BC22" s="1003"/>
      <c r="BD22" s="1003"/>
      <c r="BE22" s="1003"/>
      <c r="BF22" s="1003"/>
      <c r="BG22" s="1003"/>
      <c r="BH22" s="1004"/>
      <c r="BI22" s="993"/>
      <c r="BJ22" s="947" t="s">
        <v>104</v>
      </c>
      <c r="BK22" s="971">
        <v>1.69</v>
      </c>
      <c r="BL22" s="953">
        <v>1.63</v>
      </c>
      <c r="BM22" s="953" t="s">
        <v>350</v>
      </c>
      <c r="BN22" s="953" t="s">
        <v>350</v>
      </c>
      <c r="BO22" s="954" t="s">
        <v>350</v>
      </c>
      <c r="BP22" s="951">
        <v>1.68</v>
      </c>
      <c r="BQ22" s="970" t="s">
        <v>350</v>
      </c>
    </row>
    <row r="23" spans="2:69" ht="13.5" thickBot="1" x14ac:dyDescent="0.25">
      <c r="B23" s="1028" t="s">
        <v>340</v>
      </c>
      <c r="C23" s="1012">
        <v>1</v>
      </c>
      <c r="D23" s="1013">
        <v>2</v>
      </c>
      <c r="E23" s="1013">
        <v>3</v>
      </c>
      <c r="F23" s="1013">
        <v>4</v>
      </c>
      <c r="G23" s="1013">
        <v>5</v>
      </c>
      <c r="H23" s="1013">
        <v>6</v>
      </c>
      <c r="I23" s="1013">
        <v>7</v>
      </c>
      <c r="J23" s="1013">
        <v>8</v>
      </c>
      <c r="K23" s="1013">
        <v>9</v>
      </c>
      <c r="L23" s="1013">
        <v>10</v>
      </c>
      <c r="M23" s="1013">
        <v>11</v>
      </c>
      <c r="N23" s="1014">
        <v>12</v>
      </c>
      <c r="O23" s="1015" t="s">
        <v>341</v>
      </c>
      <c r="P23" s="1181"/>
      <c r="Q23" s="1011" t="s">
        <v>340</v>
      </c>
      <c r="R23" s="1012">
        <v>1</v>
      </c>
      <c r="S23" s="1013">
        <v>2</v>
      </c>
      <c r="T23" s="1013">
        <v>3</v>
      </c>
      <c r="U23" s="1013">
        <v>4</v>
      </c>
      <c r="V23" s="1013">
        <v>5</v>
      </c>
      <c r="W23" s="1013">
        <v>6</v>
      </c>
      <c r="X23" s="1013">
        <v>7</v>
      </c>
      <c r="Y23" s="1013">
        <v>8</v>
      </c>
      <c r="Z23" s="1013">
        <v>9</v>
      </c>
      <c r="AA23" s="1013">
        <v>10</v>
      </c>
      <c r="AB23" s="1013">
        <v>11</v>
      </c>
      <c r="AC23" s="1014">
        <v>12</v>
      </c>
      <c r="AD23" s="1015" t="s">
        <v>341</v>
      </c>
      <c r="AE23" s="993"/>
      <c r="AF23" s="947" t="s">
        <v>342</v>
      </c>
      <c r="AG23" s="942">
        <v>3.5</v>
      </c>
      <c r="AH23" s="943">
        <v>3.5</v>
      </c>
      <c r="AI23" s="943">
        <v>3.49</v>
      </c>
      <c r="AJ23" s="943">
        <v>3.22</v>
      </c>
      <c r="AK23" s="943">
        <v>3.06</v>
      </c>
      <c r="AL23" s="943">
        <v>3.4</v>
      </c>
      <c r="AM23" s="943">
        <v>3.63</v>
      </c>
      <c r="AN23" s="943">
        <v>3.4</v>
      </c>
      <c r="AO23" s="943">
        <v>3.26</v>
      </c>
      <c r="AP23" s="943">
        <v>3.23</v>
      </c>
      <c r="AQ23" s="943">
        <v>3.27</v>
      </c>
      <c r="AR23" s="1070">
        <v>3</v>
      </c>
      <c r="AS23" s="946">
        <v>3.38</v>
      </c>
      <c r="AT23" s="993"/>
      <c r="AU23" s="1011" t="s">
        <v>340</v>
      </c>
      <c r="AV23" s="1012">
        <v>1</v>
      </c>
      <c r="AW23" s="1013">
        <v>2</v>
      </c>
      <c r="AX23" s="1013">
        <v>3</v>
      </c>
      <c r="AY23" s="1013">
        <v>4</v>
      </c>
      <c r="AZ23" s="1013">
        <v>5</v>
      </c>
      <c r="BA23" s="1013">
        <v>6</v>
      </c>
      <c r="BB23" s="1013">
        <v>7</v>
      </c>
      <c r="BC23" s="1013">
        <v>8</v>
      </c>
      <c r="BD23" s="1013">
        <v>9</v>
      </c>
      <c r="BE23" s="1013">
        <v>10</v>
      </c>
      <c r="BF23" s="1013">
        <v>11</v>
      </c>
      <c r="BG23" s="1014">
        <v>12</v>
      </c>
      <c r="BH23" s="1015" t="s">
        <v>341</v>
      </c>
      <c r="BI23" s="993"/>
      <c r="BJ23" s="972" t="s">
        <v>101</v>
      </c>
      <c r="BK23" s="973" t="s">
        <v>350</v>
      </c>
      <c r="BL23" s="974">
        <v>4.9000000000000004</v>
      </c>
      <c r="BM23" s="974" t="s">
        <v>350</v>
      </c>
      <c r="BN23" s="974" t="s">
        <v>350</v>
      </c>
      <c r="BO23" s="975">
        <v>7.71</v>
      </c>
      <c r="BP23" s="976">
        <v>6.39</v>
      </c>
      <c r="BQ23" s="977" t="s">
        <v>350</v>
      </c>
    </row>
    <row r="24" spans="2:69" ht="13.5" thickBot="1" x14ac:dyDescent="0.25">
      <c r="B24" s="941" t="s">
        <v>342</v>
      </c>
      <c r="C24" s="1018" t="s">
        <v>343</v>
      </c>
      <c r="D24" s="1019" t="s">
        <v>343</v>
      </c>
      <c r="E24" s="1019" t="s">
        <v>343</v>
      </c>
      <c r="F24" s="1019" t="s">
        <v>343</v>
      </c>
      <c r="G24" s="1019" t="s">
        <v>343</v>
      </c>
      <c r="H24" s="1019" t="s">
        <v>343</v>
      </c>
      <c r="I24" s="1019" t="s">
        <v>343</v>
      </c>
      <c r="J24" s="1019">
        <v>0.65</v>
      </c>
      <c r="K24" s="1019">
        <v>0.8</v>
      </c>
      <c r="L24" s="1019">
        <v>0.8</v>
      </c>
      <c r="M24" s="1019">
        <v>0.8</v>
      </c>
      <c r="N24" s="1083">
        <v>0.8</v>
      </c>
      <c r="O24" s="946">
        <v>0.79</v>
      </c>
      <c r="P24" s="1185"/>
      <c r="Q24" s="1017" t="s">
        <v>342</v>
      </c>
      <c r="R24" s="1024">
        <v>4.6100000000000003</v>
      </c>
      <c r="S24" s="1025">
        <v>4.83</v>
      </c>
      <c r="T24" s="1025">
        <v>4.88</v>
      </c>
      <c r="U24" s="1025">
        <v>4.96</v>
      </c>
      <c r="V24" s="1025">
        <v>4.74</v>
      </c>
      <c r="W24" s="1025">
        <v>4.2</v>
      </c>
      <c r="X24" s="1025">
        <v>3.76</v>
      </c>
      <c r="Y24" s="1025">
        <v>4.54</v>
      </c>
      <c r="Z24" s="1025">
        <v>4.09</v>
      </c>
      <c r="AA24" s="1025">
        <v>3.26</v>
      </c>
      <c r="AB24" s="1025">
        <v>3.07</v>
      </c>
      <c r="AC24" s="1026">
        <v>3.28</v>
      </c>
      <c r="AD24" s="1063">
        <v>3.86</v>
      </c>
      <c r="AE24" s="993"/>
      <c r="AF24" s="947" t="s">
        <v>344</v>
      </c>
      <c r="AG24" s="948">
        <v>2.61</v>
      </c>
      <c r="AH24" s="949">
        <v>2.65</v>
      </c>
      <c r="AI24" s="949">
        <v>2.67</v>
      </c>
      <c r="AJ24" s="949">
        <v>1.71</v>
      </c>
      <c r="AK24" s="949">
        <v>1.39</v>
      </c>
      <c r="AL24" s="949">
        <v>2.21</v>
      </c>
      <c r="AM24" s="949">
        <v>2.21</v>
      </c>
      <c r="AN24" s="949">
        <v>2.13</v>
      </c>
      <c r="AO24" s="949">
        <v>1.85</v>
      </c>
      <c r="AP24" s="949">
        <v>1.98</v>
      </c>
      <c r="AQ24" s="949">
        <v>1.97</v>
      </c>
      <c r="AR24" s="950">
        <v>1.77</v>
      </c>
      <c r="AS24" s="1034">
        <v>1.94</v>
      </c>
      <c r="AT24" s="993"/>
      <c r="AU24" s="1023" t="s">
        <v>342</v>
      </c>
      <c r="AV24" s="1071">
        <v>0.11</v>
      </c>
      <c r="AW24" s="1072" t="s">
        <v>343</v>
      </c>
      <c r="AX24" s="1025" t="s">
        <v>350</v>
      </c>
      <c r="AY24" s="1025">
        <v>1</v>
      </c>
      <c r="AZ24" s="1025">
        <v>0.77</v>
      </c>
      <c r="BA24" s="1025">
        <v>0.66</v>
      </c>
      <c r="BB24" s="1025">
        <v>0.19</v>
      </c>
      <c r="BC24" s="1025">
        <v>0.17</v>
      </c>
      <c r="BD24" s="1025">
        <v>0.14000000000000001</v>
      </c>
      <c r="BE24" s="1025">
        <v>0.1</v>
      </c>
      <c r="BF24" s="1025">
        <v>0.4</v>
      </c>
      <c r="BG24" s="1026">
        <v>0.5</v>
      </c>
      <c r="BH24" s="1064">
        <v>0.44</v>
      </c>
      <c r="BI24" s="993"/>
      <c r="BJ24" s="935" t="s">
        <v>369</v>
      </c>
      <c r="BK24" s="978" t="s">
        <v>342</v>
      </c>
      <c r="BL24" s="979" t="s">
        <v>344</v>
      </c>
      <c r="BM24" s="979" t="s">
        <v>345</v>
      </c>
      <c r="BN24" s="979" t="s">
        <v>346</v>
      </c>
      <c r="BO24" s="979" t="s">
        <v>347</v>
      </c>
      <c r="BP24" s="979" t="s">
        <v>348</v>
      </c>
      <c r="BQ24" s="980" t="s">
        <v>352</v>
      </c>
    </row>
    <row r="25" spans="2:69" x14ac:dyDescent="0.2">
      <c r="B25" s="947" t="s">
        <v>344</v>
      </c>
      <c r="C25" s="1176">
        <v>0.25</v>
      </c>
      <c r="D25" s="1177">
        <v>0.3</v>
      </c>
      <c r="E25" s="1177" t="s">
        <v>343</v>
      </c>
      <c r="F25" s="1177">
        <v>0.3</v>
      </c>
      <c r="G25" s="1177">
        <v>0.3</v>
      </c>
      <c r="H25" s="1177">
        <v>0.32</v>
      </c>
      <c r="I25" s="1178">
        <v>0.4</v>
      </c>
      <c r="J25" s="1177">
        <v>0.35</v>
      </c>
      <c r="K25" s="1177">
        <v>0.32</v>
      </c>
      <c r="L25" s="1177">
        <v>0.28000000000000003</v>
      </c>
      <c r="M25" s="1177">
        <v>0.27</v>
      </c>
      <c r="N25" s="1179">
        <v>0.37</v>
      </c>
      <c r="O25" s="1034">
        <v>0.3</v>
      </c>
      <c r="P25" s="1182"/>
      <c r="Q25" s="1023" t="s">
        <v>344</v>
      </c>
      <c r="R25" s="1035">
        <v>4.33</v>
      </c>
      <c r="S25" s="1036">
        <v>4.79</v>
      </c>
      <c r="T25" s="1036">
        <v>5.04</v>
      </c>
      <c r="U25" s="1036">
        <v>4.7300000000000004</v>
      </c>
      <c r="V25" s="1036">
        <v>4.6399999999999997</v>
      </c>
      <c r="W25" s="1036">
        <v>4.6100000000000003</v>
      </c>
      <c r="X25" s="1036">
        <v>4.74</v>
      </c>
      <c r="Y25" s="1036">
        <v>5.34</v>
      </c>
      <c r="Z25" s="1036">
        <v>4.62</v>
      </c>
      <c r="AA25" s="1036">
        <v>3.73</v>
      </c>
      <c r="AB25" s="1036">
        <v>4.26</v>
      </c>
      <c r="AC25" s="1037">
        <v>3.83</v>
      </c>
      <c r="AD25" s="1038">
        <v>4.57</v>
      </c>
      <c r="AE25" s="993"/>
      <c r="AF25" s="947" t="s">
        <v>345</v>
      </c>
      <c r="AG25" s="948">
        <v>2.2000000000000002</v>
      </c>
      <c r="AH25" s="949">
        <v>2.21</v>
      </c>
      <c r="AI25" s="949">
        <v>2.23</v>
      </c>
      <c r="AJ25" s="949">
        <v>1.54</v>
      </c>
      <c r="AK25" s="949">
        <v>1.31</v>
      </c>
      <c r="AL25" s="949">
        <v>1.72</v>
      </c>
      <c r="AM25" s="949" t="s">
        <v>343</v>
      </c>
      <c r="AN25" s="949">
        <v>2.34</v>
      </c>
      <c r="AO25" s="949">
        <v>2.39</v>
      </c>
      <c r="AP25" s="949">
        <v>2.39</v>
      </c>
      <c r="AQ25" s="949">
        <v>2.37</v>
      </c>
      <c r="AR25" s="950">
        <v>2.39</v>
      </c>
      <c r="AS25" s="1034">
        <v>1.98</v>
      </c>
      <c r="AT25" s="993"/>
      <c r="AU25" s="1023" t="s">
        <v>344</v>
      </c>
      <c r="AV25" s="952">
        <v>0.18</v>
      </c>
      <c r="AW25" s="1073">
        <v>0.24</v>
      </c>
      <c r="AX25" s="1073">
        <v>0.56999999999999995</v>
      </c>
      <c r="AY25" s="1073">
        <v>0.33</v>
      </c>
      <c r="AZ25" s="1073">
        <v>0.49</v>
      </c>
      <c r="BA25" s="1073" t="s">
        <v>350</v>
      </c>
      <c r="BB25" s="1073" t="s">
        <v>350</v>
      </c>
      <c r="BC25" s="1073" t="s">
        <v>350</v>
      </c>
      <c r="BD25" s="1073" t="s">
        <v>350</v>
      </c>
      <c r="BE25" s="1032" t="s">
        <v>350</v>
      </c>
      <c r="BF25" s="1032">
        <v>0.21</v>
      </c>
      <c r="BG25" s="1033" t="s">
        <v>343</v>
      </c>
      <c r="BH25" s="1038">
        <v>0.3</v>
      </c>
      <c r="BI25" s="993"/>
      <c r="BJ25" s="941" t="s">
        <v>103</v>
      </c>
      <c r="BK25" s="981" t="s">
        <v>350</v>
      </c>
      <c r="BL25" s="982" t="s">
        <v>350</v>
      </c>
      <c r="BM25" s="982" t="s">
        <v>350</v>
      </c>
      <c r="BN25" s="982" t="s">
        <v>350</v>
      </c>
      <c r="BO25" s="983" t="s">
        <v>350</v>
      </c>
      <c r="BP25" s="984">
        <v>12.68</v>
      </c>
      <c r="BQ25" s="968" t="s">
        <v>350</v>
      </c>
    </row>
    <row r="26" spans="2:69" x14ac:dyDescent="0.2">
      <c r="B26" s="947" t="s">
        <v>345</v>
      </c>
      <c r="C26" s="1176">
        <v>0.22</v>
      </c>
      <c r="D26" s="1177">
        <v>0.34</v>
      </c>
      <c r="E26" s="1177">
        <v>0.61</v>
      </c>
      <c r="F26" s="1177">
        <v>0.3</v>
      </c>
      <c r="G26" s="1177">
        <v>0.22</v>
      </c>
      <c r="H26" s="1177">
        <v>0.2</v>
      </c>
      <c r="I26" s="1177">
        <v>0.25</v>
      </c>
      <c r="J26" s="1177" t="s">
        <v>343</v>
      </c>
      <c r="K26" s="1177">
        <v>0.3</v>
      </c>
      <c r="L26" s="1177">
        <v>0.21</v>
      </c>
      <c r="M26" s="1177">
        <v>0.23</v>
      </c>
      <c r="N26" s="1179">
        <v>0.24</v>
      </c>
      <c r="O26" s="1034">
        <v>0.24</v>
      </c>
      <c r="P26" s="1182"/>
      <c r="Q26" s="1023" t="s">
        <v>345</v>
      </c>
      <c r="R26" s="1035">
        <v>5.54</v>
      </c>
      <c r="S26" s="1036">
        <v>6.18</v>
      </c>
      <c r="T26" s="1036">
        <v>6.76</v>
      </c>
      <c r="U26" s="1036">
        <v>7.14</v>
      </c>
      <c r="V26" s="1036">
        <v>5.65</v>
      </c>
      <c r="W26" s="1036">
        <v>5.56</v>
      </c>
      <c r="X26" s="1036">
        <v>6.25</v>
      </c>
      <c r="Y26" s="1036">
        <v>6.08</v>
      </c>
      <c r="Z26" s="1036">
        <v>5.75</v>
      </c>
      <c r="AA26" s="1036">
        <v>5.97</v>
      </c>
      <c r="AB26" s="1036">
        <v>4.6900000000000004</v>
      </c>
      <c r="AC26" s="1037">
        <v>4.45</v>
      </c>
      <c r="AD26" s="1038">
        <v>5.68</v>
      </c>
      <c r="AE26" s="993"/>
      <c r="AF26" s="947" t="s">
        <v>346</v>
      </c>
      <c r="AG26" s="948">
        <v>1.97</v>
      </c>
      <c r="AH26" s="949" t="s">
        <v>350</v>
      </c>
      <c r="AI26" s="949" t="s">
        <v>350</v>
      </c>
      <c r="AJ26" s="949">
        <v>1.1599999999999999</v>
      </c>
      <c r="AK26" s="949">
        <v>0.9</v>
      </c>
      <c r="AL26" s="949">
        <v>0.95</v>
      </c>
      <c r="AM26" s="949">
        <v>1.8</v>
      </c>
      <c r="AN26" s="949">
        <v>1.79</v>
      </c>
      <c r="AO26" s="949">
        <v>1.25</v>
      </c>
      <c r="AP26" s="949">
        <v>1</v>
      </c>
      <c r="AQ26" s="949">
        <v>1.39</v>
      </c>
      <c r="AR26" s="950">
        <v>1.8</v>
      </c>
      <c r="AS26" s="1034">
        <v>1.07</v>
      </c>
      <c r="AT26" s="993"/>
      <c r="AU26" s="1023" t="s">
        <v>345</v>
      </c>
      <c r="AV26" s="1035">
        <v>0.44</v>
      </c>
      <c r="AW26" s="1036">
        <v>0.48</v>
      </c>
      <c r="AX26" s="1036">
        <v>0.47</v>
      </c>
      <c r="AY26" s="1036">
        <v>0.56000000000000005</v>
      </c>
      <c r="AZ26" s="1036">
        <v>0.27</v>
      </c>
      <c r="BA26" s="1036">
        <v>0.37</v>
      </c>
      <c r="BB26" s="1036">
        <v>0.03</v>
      </c>
      <c r="BC26" s="1036">
        <v>0.5</v>
      </c>
      <c r="BD26" s="1036">
        <v>0.56999999999999995</v>
      </c>
      <c r="BE26" s="1036">
        <v>0.63</v>
      </c>
      <c r="BF26" s="1036">
        <v>1.08</v>
      </c>
      <c r="BG26" s="1037">
        <v>0.77</v>
      </c>
      <c r="BH26" s="1038">
        <v>0.42</v>
      </c>
      <c r="BI26" s="993"/>
      <c r="BJ26" s="947" t="s">
        <v>102</v>
      </c>
      <c r="BK26" s="971" t="s">
        <v>350</v>
      </c>
      <c r="BL26" s="953" t="s">
        <v>350</v>
      </c>
      <c r="BM26" s="953" t="s">
        <v>350</v>
      </c>
      <c r="BN26" s="953" t="s">
        <v>350</v>
      </c>
      <c r="BO26" s="954" t="s">
        <v>350</v>
      </c>
      <c r="BP26" s="951">
        <v>10.68</v>
      </c>
      <c r="BQ26" s="970" t="s">
        <v>350</v>
      </c>
    </row>
    <row r="27" spans="2:69" ht="12.75" customHeight="1" thickBot="1" x14ac:dyDescent="0.25">
      <c r="B27" s="947" t="s">
        <v>346</v>
      </c>
      <c r="C27" s="1029" t="s">
        <v>343</v>
      </c>
      <c r="D27" s="1030" t="s">
        <v>343</v>
      </c>
      <c r="E27" s="1030" t="s">
        <v>343</v>
      </c>
      <c r="F27" s="1030" t="s">
        <v>343</v>
      </c>
      <c r="G27" s="1030" t="s">
        <v>343</v>
      </c>
      <c r="H27" s="1030" t="s">
        <v>343</v>
      </c>
      <c r="I27" s="1030" t="s">
        <v>343</v>
      </c>
      <c r="J27" s="1030" t="s">
        <v>343</v>
      </c>
      <c r="K27" s="1030" t="s">
        <v>343</v>
      </c>
      <c r="L27" s="1030" t="s">
        <v>343</v>
      </c>
      <c r="M27" s="1030" t="s">
        <v>343</v>
      </c>
      <c r="N27" s="1087" t="s">
        <v>343</v>
      </c>
      <c r="O27" s="1034" t="s">
        <v>343</v>
      </c>
      <c r="P27" s="1185"/>
      <c r="Q27" s="1023" t="s">
        <v>346</v>
      </c>
      <c r="R27" s="1035">
        <v>5.18</v>
      </c>
      <c r="S27" s="1036">
        <v>5.16</v>
      </c>
      <c r="T27" s="1036">
        <v>4.43</v>
      </c>
      <c r="U27" s="1036">
        <v>4.74</v>
      </c>
      <c r="V27" s="1036">
        <v>4.82</v>
      </c>
      <c r="W27" s="1036">
        <v>4.92</v>
      </c>
      <c r="X27" s="1036">
        <v>5.31</v>
      </c>
      <c r="Y27" s="1036">
        <v>4.6900000000000004</v>
      </c>
      <c r="Z27" s="1036">
        <v>4.04</v>
      </c>
      <c r="AA27" s="1036">
        <v>3.6</v>
      </c>
      <c r="AB27" s="1036">
        <v>3.56</v>
      </c>
      <c r="AC27" s="1037">
        <v>3.57</v>
      </c>
      <c r="AD27" s="1038">
        <v>4.43</v>
      </c>
      <c r="AE27" s="993"/>
      <c r="AF27" s="947" t="s">
        <v>347</v>
      </c>
      <c r="AG27" s="955" t="s">
        <v>350</v>
      </c>
      <c r="AH27" s="956" t="s">
        <v>343</v>
      </c>
      <c r="AI27" s="1074" t="s">
        <v>343</v>
      </c>
      <c r="AJ27" s="1074">
        <v>2.0499999999999998</v>
      </c>
      <c r="AK27" s="1047">
        <v>2.09</v>
      </c>
      <c r="AL27" s="1074" t="s">
        <v>343</v>
      </c>
      <c r="AM27" s="1074" t="s">
        <v>343</v>
      </c>
      <c r="AN27" s="1047">
        <v>2.5499999999999998</v>
      </c>
      <c r="AO27" s="1074" t="s">
        <v>343</v>
      </c>
      <c r="AP27" s="1074">
        <v>2.02</v>
      </c>
      <c r="AQ27" s="1186">
        <v>2.0499999999999998</v>
      </c>
      <c r="AR27" s="1088" t="s">
        <v>343</v>
      </c>
      <c r="AS27" s="1042">
        <v>2.1800000000000002</v>
      </c>
      <c r="AT27" s="993"/>
      <c r="AU27" s="1023" t="s">
        <v>346</v>
      </c>
      <c r="AV27" s="1035">
        <v>0.43</v>
      </c>
      <c r="AW27" s="1036">
        <v>0.41</v>
      </c>
      <c r="AX27" s="1036">
        <v>0.44</v>
      </c>
      <c r="AY27" s="1036">
        <v>0.41</v>
      </c>
      <c r="AZ27" s="1036">
        <v>0.38</v>
      </c>
      <c r="BA27" s="1036">
        <v>0.78</v>
      </c>
      <c r="BB27" s="1036">
        <v>0.24</v>
      </c>
      <c r="BC27" s="1036">
        <v>0.37</v>
      </c>
      <c r="BD27" s="1036">
        <v>0.25</v>
      </c>
      <c r="BE27" s="1036">
        <v>0.25</v>
      </c>
      <c r="BF27" s="1036">
        <v>0.3</v>
      </c>
      <c r="BG27" s="1037">
        <v>0.25</v>
      </c>
      <c r="BH27" s="1038">
        <v>0.61</v>
      </c>
      <c r="BI27" s="993"/>
      <c r="BJ27" s="947" t="s">
        <v>101</v>
      </c>
      <c r="BK27" s="971" t="s">
        <v>350</v>
      </c>
      <c r="BL27" s="953" t="s">
        <v>350</v>
      </c>
      <c r="BM27" s="953" t="s">
        <v>350</v>
      </c>
      <c r="BN27" s="953" t="s">
        <v>350</v>
      </c>
      <c r="BO27" s="954" t="s">
        <v>350</v>
      </c>
      <c r="BP27" s="951">
        <v>13.05</v>
      </c>
      <c r="BQ27" s="970" t="s">
        <v>350</v>
      </c>
    </row>
    <row r="28" spans="2:69" ht="12.75" customHeight="1" thickBot="1" x14ac:dyDescent="0.25">
      <c r="B28" s="947" t="s">
        <v>347</v>
      </c>
      <c r="C28" s="955" t="s">
        <v>343</v>
      </c>
      <c r="D28" s="956" t="s">
        <v>343</v>
      </c>
      <c r="E28" s="956" t="s">
        <v>343</v>
      </c>
      <c r="F28" s="956" t="s">
        <v>343</v>
      </c>
      <c r="G28" s="956" t="s">
        <v>343</v>
      </c>
      <c r="H28" s="956" t="s">
        <v>343</v>
      </c>
      <c r="I28" s="956" t="s">
        <v>343</v>
      </c>
      <c r="J28" s="956" t="s">
        <v>343</v>
      </c>
      <c r="K28" s="956" t="s">
        <v>343</v>
      </c>
      <c r="L28" s="956" t="s">
        <v>343</v>
      </c>
      <c r="M28" s="956" t="s">
        <v>343</v>
      </c>
      <c r="N28" s="1088" t="s">
        <v>343</v>
      </c>
      <c r="O28" s="1042" t="s">
        <v>343</v>
      </c>
      <c r="P28" s="1185"/>
      <c r="Q28" s="1023" t="s">
        <v>347</v>
      </c>
      <c r="R28" s="1043">
        <v>5.54</v>
      </c>
      <c r="S28" s="1044">
        <v>5.48</v>
      </c>
      <c r="T28" s="1044" t="s">
        <v>350</v>
      </c>
      <c r="U28" s="1044" t="s">
        <v>350</v>
      </c>
      <c r="V28" s="1044">
        <v>5.76</v>
      </c>
      <c r="W28" s="1044">
        <v>5.68</v>
      </c>
      <c r="X28" s="1044">
        <v>5.77</v>
      </c>
      <c r="Y28" s="1044">
        <v>5.97</v>
      </c>
      <c r="Z28" s="1044">
        <v>5.8</v>
      </c>
      <c r="AA28" s="1044">
        <v>5.6</v>
      </c>
      <c r="AB28" s="1044" t="s">
        <v>350</v>
      </c>
      <c r="AC28" s="1045" t="s">
        <v>343</v>
      </c>
      <c r="AD28" s="1046">
        <v>5.71</v>
      </c>
      <c r="AE28" s="993"/>
      <c r="AF28" s="1028" t="s">
        <v>348</v>
      </c>
      <c r="AG28" s="1075">
        <v>2.7</v>
      </c>
      <c r="AH28" s="1076">
        <v>2.58</v>
      </c>
      <c r="AI28" s="1076">
        <v>2.67</v>
      </c>
      <c r="AJ28" s="1076">
        <v>1.6</v>
      </c>
      <c r="AK28" s="1076">
        <v>1.27</v>
      </c>
      <c r="AL28" s="1076">
        <v>2.14</v>
      </c>
      <c r="AM28" s="1076">
        <v>2.97</v>
      </c>
      <c r="AN28" s="1076">
        <v>2.62</v>
      </c>
      <c r="AO28" s="1076">
        <v>2.36</v>
      </c>
      <c r="AP28" s="1076">
        <v>2.25</v>
      </c>
      <c r="AQ28" s="1076">
        <v>2.36</v>
      </c>
      <c r="AR28" s="1077">
        <v>2.2799999999999998</v>
      </c>
      <c r="AS28" s="1052">
        <v>2.0099999999999998</v>
      </c>
      <c r="AT28" s="993"/>
      <c r="AU28" s="1023" t="s">
        <v>347</v>
      </c>
      <c r="AV28" s="1078" t="s">
        <v>350</v>
      </c>
      <c r="AW28" s="1079" t="s">
        <v>350</v>
      </c>
      <c r="AX28" s="1079" t="s">
        <v>350</v>
      </c>
      <c r="AY28" s="1079" t="s">
        <v>350</v>
      </c>
      <c r="AZ28" s="1079" t="s">
        <v>350</v>
      </c>
      <c r="BA28" s="1079" t="s">
        <v>350</v>
      </c>
      <c r="BB28" s="1079" t="s">
        <v>350</v>
      </c>
      <c r="BC28" s="1079" t="s">
        <v>350</v>
      </c>
      <c r="BD28" s="1079" t="s">
        <v>350</v>
      </c>
      <c r="BE28" s="1079">
        <v>0.44</v>
      </c>
      <c r="BF28" s="1079" t="s">
        <v>343</v>
      </c>
      <c r="BG28" s="1048" t="s">
        <v>343</v>
      </c>
      <c r="BH28" s="1046">
        <v>0.48</v>
      </c>
      <c r="BI28" s="993"/>
      <c r="BJ28" s="947" t="s">
        <v>104</v>
      </c>
      <c r="BK28" s="973" t="s">
        <v>350</v>
      </c>
      <c r="BL28" s="974" t="s">
        <v>350</v>
      </c>
      <c r="BM28" s="974" t="s">
        <v>350</v>
      </c>
      <c r="BN28" s="974" t="s">
        <v>350</v>
      </c>
      <c r="BO28" s="975" t="s">
        <v>350</v>
      </c>
      <c r="BP28" s="976">
        <v>4.24</v>
      </c>
      <c r="BQ28" s="977" t="s">
        <v>350</v>
      </c>
    </row>
    <row r="29" spans="2:69" ht="12.75" customHeight="1" thickBot="1" x14ac:dyDescent="0.25">
      <c r="B29" s="1028" t="s">
        <v>348</v>
      </c>
      <c r="C29" s="1119">
        <v>0.24</v>
      </c>
      <c r="D29" s="1050">
        <v>0.32</v>
      </c>
      <c r="E29" s="1050">
        <v>0.61</v>
      </c>
      <c r="F29" s="1050">
        <v>0.3</v>
      </c>
      <c r="G29" s="1050">
        <v>0.22</v>
      </c>
      <c r="H29" s="1050">
        <v>0.22</v>
      </c>
      <c r="I29" s="1050">
        <v>0.37</v>
      </c>
      <c r="J29" s="1050">
        <v>0.35</v>
      </c>
      <c r="K29" s="1050">
        <v>0.32</v>
      </c>
      <c r="L29" s="1050">
        <v>0.24</v>
      </c>
      <c r="M29" s="1050">
        <v>0.24</v>
      </c>
      <c r="N29" s="1051">
        <v>0.26</v>
      </c>
      <c r="O29" s="1052">
        <v>0.26</v>
      </c>
      <c r="P29" s="1182"/>
      <c r="Q29" s="1011" t="s">
        <v>348</v>
      </c>
      <c r="R29" s="1053">
        <v>4.57</v>
      </c>
      <c r="S29" s="1054">
        <v>5.0599999999999996</v>
      </c>
      <c r="T29" s="1054">
        <v>5.29</v>
      </c>
      <c r="U29" s="1054">
        <v>5.34</v>
      </c>
      <c r="V29" s="1054">
        <v>4.8499999999999996</v>
      </c>
      <c r="W29" s="1054">
        <v>4.51</v>
      </c>
      <c r="X29" s="1054">
        <v>4.58</v>
      </c>
      <c r="Y29" s="1054">
        <v>5.0999999999999996</v>
      </c>
      <c r="Z29" s="1054">
        <v>4.5</v>
      </c>
      <c r="AA29" s="1054">
        <v>3.72</v>
      </c>
      <c r="AB29" s="1054">
        <v>4.0599999999999996</v>
      </c>
      <c r="AC29" s="1055">
        <v>3.74</v>
      </c>
      <c r="AD29" s="1052">
        <v>4.46</v>
      </c>
      <c r="AE29" s="993"/>
      <c r="AF29" s="1068" t="s">
        <v>360</v>
      </c>
      <c r="AG29" s="1183"/>
      <c r="AH29" s="1183"/>
      <c r="AI29" s="1183"/>
      <c r="AJ29" s="1183"/>
      <c r="AK29" s="1183"/>
      <c r="AL29" s="1183"/>
      <c r="AM29" s="1183"/>
      <c r="AN29" s="1183"/>
      <c r="AO29" s="1183"/>
      <c r="AP29" s="1183"/>
      <c r="AQ29" s="1183"/>
      <c r="AR29" s="1183"/>
      <c r="AS29" s="1184"/>
      <c r="AT29" s="993"/>
      <c r="AU29" s="1011" t="s">
        <v>348</v>
      </c>
      <c r="AV29" s="1053">
        <v>0.35</v>
      </c>
      <c r="AW29" s="1054">
        <v>0.45</v>
      </c>
      <c r="AX29" s="1054">
        <v>0.47</v>
      </c>
      <c r="AY29" s="1054">
        <v>0.5</v>
      </c>
      <c r="AZ29" s="1054">
        <v>0.35</v>
      </c>
      <c r="BA29" s="1054">
        <v>0.73</v>
      </c>
      <c r="BB29" s="1054">
        <v>0.14000000000000001</v>
      </c>
      <c r="BC29" s="1054">
        <v>0.33</v>
      </c>
      <c r="BD29" s="1054">
        <v>0.46</v>
      </c>
      <c r="BE29" s="1054">
        <v>0.54</v>
      </c>
      <c r="BF29" s="1054">
        <v>0.77</v>
      </c>
      <c r="BG29" s="1055">
        <v>0.53</v>
      </c>
      <c r="BH29" s="1052">
        <v>0.52</v>
      </c>
      <c r="BI29" s="993"/>
      <c r="BJ29" s="935" t="s">
        <v>370</v>
      </c>
      <c r="BK29" s="985" t="s">
        <v>342</v>
      </c>
      <c r="BL29" s="986" t="s">
        <v>344</v>
      </c>
      <c r="BM29" s="986" t="s">
        <v>345</v>
      </c>
      <c r="BN29" s="986" t="s">
        <v>346</v>
      </c>
      <c r="BO29" s="987" t="s">
        <v>347</v>
      </c>
      <c r="BP29" s="988" t="s">
        <v>348</v>
      </c>
      <c r="BQ29" s="989" t="s">
        <v>352</v>
      </c>
    </row>
    <row r="30" spans="2:69" ht="12.75" customHeight="1" thickBot="1" x14ac:dyDescent="0.25">
      <c r="B30" s="1080" t="s">
        <v>543</v>
      </c>
      <c r="C30" s="1001"/>
      <c r="D30" s="1001"/>
      <c r="E30" s="1001"/>
      <c r="F30" s="1001"/>
      <c r="G30" s="1001"/>
      <c r="H30" s="1001"/>
      <c r="I30" s="1001"/>
      <c r="J30" s="1001"/>
      <c r="K30" s="1001"/>
      <c r="L30" s="1001"/>
      <c r="M30" s="1001"/>
      <c r="N30" s="1001"/>
      <c r="O30" s="1004"/>
      <c r="P30" s="1182"/>
      <c r="Q30" s="997" t="s">
        <v>356</v>
      </c>
      <c r="R30" s="998"/>
      <c r="S30" s="998"/>
      <c r="T30" s="998"/>
      <c r="U30" s="998"/>
      <c r="V30" s="998"/>
      <c r="W30" s="998"/>
      <c r="X30" s="998"/>
      <c r="Y30" s="998"/>
      <c r="Z30" s="998"/>
      <c r="AA30" s="998"/>
      <c r="AB30" s="998"/>
      <c r="AC30" s="998"/>
      <c r="AD30" s="999"/>
      <c r="AE30" s="993"/>
      <c r="AF30" s="1028" t="s">
        <v>340</v>
      </c>
      <c r="AG30" s="1012">
        <v>1</v>
      </c>
      <c r="AH30" s="1013">
        <v>2</v>
      </c>
      <c r="AI30" s="1013">
        <v>3</v>
      </c>
      <c r="AJ30" s="1013">
        <v>4</v>
      </c>
      <c r="AK30" s="1013">
        <v>5</v>
      </c>
      <c r="AL30" s="1013">
        <v>6</v>
      </c>
      <c r="AM30" s="1013">
        <v>7</v>
      </c>
      <c r="AN30" s="1013">
        <v>8</v>
      </c>
      <c r="AO30" s="1013">
        <v>9</v>
      </c>
      <c r="AP30" s="1013">
        <v>10</v>
      </c>
      <c r="AQ30" s="1013">
        <v>11</v>
      </c>
      <c r="AR30" s="1014">
        <v>12</v>
      </c>
      <c r="AS30" s="1015" t="s">
        <v>341</v>
      </c>
      <c r="AT30" s="993"/>
      <c r="AU30" s="1068" t="s">
        <v>361</v>
      </c>
      <c r="AV30" s="1081"/>
      <c r="AW30" s="1081"/>
      <c r="AX30" s="1081"/>
      <c r="AY30" s="1081"/>
      <c r="AZ30" s="1081"/>
      <c r="BA30" s="1081"/>
      <c r="BB30" s="1081"/>
      <c r="BC30" s="1081"/>
      <c r="BD30" s="1081"/>
      <c r="BE30" s="1081"/>
      <c r="BF30" s="1081"/>
      <c r="BG30" s="1081"/>
      <c r="BH30" s="1082"/>
      <c r="BI30" s="993"/>
      <c r="BJ30" s="947" t="s">
        <v>103</v>
      </c>
      <c r="BK30" s="981" t="s">
        <v>350</v>
      </c>
      <c r="BL30" s="982" t="s">
        <v>350</v>
      </c>
      <c r="BM30" s="982" t="s">
        <v>350</v>
      </c>
      <c r="BN30" s="982" t="s">
        <v>350</v>
      </c>
      <c r="BO30" s="983" t="s">
        <v>350</v>
      </c>
      <c r="BP30" s="984">
        <v>28.9</v>
      </c>
      <c r="BQ30" s="990" t="s">
        <v>343</v>
      </c>
    </row>
    <row r="31" spans="2:69" ht="13.5" thickBot="1" x14ac:dyDescent="0.25">
      <c r="B31" s="1028" t="s">
        <v>340</v>
      </c>
      <c r="C31" s="1012">
        <v>1</v>
      </c>
      <c r="D31" s="1013">
        <v>2</v>
      </c>
      <c r="E31" s="1013">
        <v>3</v>
      </c>
      <c r="F31" s="1013">
        <v>4</v>
      </c>
      <c r="G31" s="1013">
        <v>5</v>
      </c>
      <c r="H31" s="1013">
        <v>6</v>
      </c>
      <c r="I31" s="1013">
        <v>7</v>
      </c>
      <c r="J31" s="1013">
        <v>8</v>
      </c>
      <c r="K31" s="1013">
        <v>9</v>
      </c>
      <c r="L31" s="1013">
        <v>10</v>
      </c>
      <c r="M31" s="1013">
        <v>11</v>
      </c>
      <c r="N31" s="1014">
        <v>12</v>
      </c>
      <c r="O31" s="1015" t="s">
        <v>341</v>
      </c>
      <c r="P31" s="993"/>
      <c r="Q31" s="1011" t="s">
        <v>340</v>
      </c>
      <c r="R31" s="1012">
        <v>1</v>
      </c>
      <c r="S31" s="1013">
        <v>2</v>
      </c>
      <c r="T31" s="1013">
        <v>3</v>
      </c>
      <c r="U31" s="1013">
        <v>4</v>
      </c>
      <c r="V31" s="1013">
        <v>5</v>
      </c>
      <c r="W31" s="1013">
        <v>6</v>
      </c>
      <c r="X31" s="1013">
        <v>7</v>
      </c>
      <c r="Y31" s="1013">
        <v>8</v>
      </c>
      <c r="Z31" s="1013">
        <v>9</v>
      </c>
      <c r="AA31" s="1013">
        <v>10</v>
      </c>
      <c r="AB31" s="1013">
        <v>11</v>
      </c>
      <c r="AC31" s="1014">
        <v>12</v>
      </c>
      <c r="AD31" s="1015" t="s">
        <v>341</v>
      </c>
      <c r="AE31" s="993"/>
      <c r="AF31" s="947" t="s">
        <v>342</v>
      </c>
      <c r="AG31" s="942">
        <v>2</v>
      </c>
      <c r="AH31" s="943" t="s">
        <v>350</v>
      </c>
      <c r="AI31" s="943" t="s">
        <v>350</v>
      </c>
      <c r="AJ31" s="943">
        <v>2</v>
      </c>
      <c r="AK31" s="943">
        <v>1.24</v>
      </c>
      <c r="AL31" s="943">
        <v>1.3</v>
      </c>
      <c r="AM31" s="943">
        <v>1.2</v>
      </c>
      <c r="AN31" s="943">
        <v>1.08</v>
      </c>
      <c r="AO31" s="943">
        <v>1.45</v>
      </c>
      <c r="AP31" s="943">
        <v>1.04</v>
      </c>
      <c r="AQ31" s="943">
        <v>1.06</v>
      </c>
      <c r="AR31" s="1085" t="s">
        <v>350</v>
      </c>
      <c r="AS31" s="946">
        <v>1.29</v>
      </c>
      <c r="AT31" s="993"/>
      <c r="AU31" s="1028" t="s">
        <v>340</v>
      </c>
      <c r="AV31" s="1012">
        <v>1</v>
      </c>
      <c r="AW31" s="1013">
        <v>2</v>
      </c>
      <c r="AX31" s="1013">
        <v>3</v>
      </c>
      <c r="AY31" s="1013">
        <v>4</v>
      </c>
      <c r="AZ31" s="1013">
        <v>5</v>
      </c>
      <c r="BA31" s="1013">
        <v>6</v>
      </c>
      <c r="BB31" s="1013">
        <v>7</v>
      </c>
      <c r="BC31" s="1013">
        <v>8</v>
      </c>
      <c r="BD31" s="1013">
        <v>9</v>
      </c>
      <c r="BE31" s="1013">
        <v>10</v>
      </c>
      <c r="BF31" s="1013">
        <v>11</v>
      </c>
      <c r="BG31" s="1014">
        <v>12</v>
      </c>
      <c r="BH31" s="1015" t="s">
        <v>341</v>
      </c>
      <c r="BI31" s="993"/>
      <c r="BJ31" s="972" t="s">
        <v>108</v>
      </c>
      <c r="BK31" s="973" t="s">
        <v>350</v>
      </c>
      <c r="BL31" s="974" t="s">
        <v>350</v>
      </c>
      <c r="BM31" s="974" t="s">
        <v>350</v>
      </c>
      <c r="BN31" s="974" t="s">
        <v>350</v>
      </c>
      <c r="BO31" s="975" t="s">
        <v>350</v>
      </c>
      <c r="BP31" s="976">
        <v>37.090000000000003</v>
      </c>
      <c r="BQ31" s="976" t="s">
        <v>350</v>
      </c>
    </row>
    <row r="32" spans="2:69" x14ac:dyDescent="0.2">
      <c r="B32" s="947" t="s">
        <v>342</v>
      </c>
      <c r="C32" s="1018" t="s">
        <v>343</v>
      </c>
      <c r="D32" s="1019" t="s">
        <v>343</v>
      </c>
      <c r="E32" s="1019" t="s">
        <v>343</v>
      </c>
      <c r="F32" s="1019" t="s">
        <v>343</v>
      </c>
      <c r="G32" s="1019" t="s">
        <v>343</v>
      </c>
      <c r="H32" s="1019" t="s">
        <v>343</v>
      </c>
      <c r="I32" s="1019" t="s">
        <v>343</v>
      </c>
      <c r="J32" s="1019" t="s">
        <v>343</v>
      </c>
      <c r="K32" s="1019" t="s">
        <v>343</v>
      </c>
      <c r="L32" s="1019" t="s">
        <v>343</v>
      </c>
      <c r="M32" s="1019" t="s">
        <v>343</v>
      </c>
      <c r="N32" s="1083" t="s">
        <v>343</v>
      </c>
      <c r="O32" s="946" t="s">
        <v>343</v>
      </c>
      <c r="P32" s="1181"/>
      <c r="Q32" s="1023" t="s">
        <v>342</v>
      </c>
      <c r="R32" s="1018" t="s">
        <v>343</v>
      </c>
      <c r="S32" s="1019" t="s">
        <v>343</v>
      </c>
      <c r="T32" s="1019" t="s">
        <v>350</v>
      </c>
      <c r="U32" s="1019" t="s">
        <v>350</v>
      </c>
      <c r="V32" s="1019" t="s">
        <v>350</v>
      </c>
      <c r="W32" s="1019" t="s">
        <v>350</v>
      </c>
      <c r="X32" s="1019" t="s">
        <v>350</v>
      </c>
      <c r="Y32" s="1019" t="s">
        <v>350</v>
      </c>
      <c r="Z32" s="1019">
        <v>6.62</v>
      </c>
      <c r="AA32" s="1019">
        <v>5.35</v>
      </c>
      <c r="AB32" s="1019" t="s">
        <v>350</v>
      </c>
      <c r="AC32" s="1083" t="s">
        <v>343</v>
      </c>
      <c r="AD32" s="946">
        <v>5.97</v>
      </c>
      <c r="AE32" s="993"/>
      <c r="AF32" s="947" t="s">
        <v>344</v>
      </c>
      <c r="AG32" s="948" t="s">
        <v>350</v>
      </c>
      <c r="AH32" s="949" t="s">
        <v>350</v>
      </c>
      <c r="AI32" s="949" t="s">
        <v>350</v>
      </c>
      <c r="AJ32" s="949">
        <v>0.72</v>
      </c>
      <c r="AK32" s="949">
        <v>0.82</v>
      </c>
      <c r="AL32" s="949">
        <v>1.82</v>
      </c>
      <c r="AM32" s="1187" t="s">
        <v>350</v>
      </c>
      <c r="AN32" s="1187" t="s">
        <v>350</v>
      </c>
      <c r="AO32" s="949">
        <v>0.88</v>
      </c>
      <c r="AP32" s="949" t="s">
        <v>343</v>
      </c>
      <c r="AQ32" s="1066">
        <v>1.3</v>
      </c>
      <c r="AR32" s="950" t="s">
        <v>350</v>
      </c>
      <c r="AS32" s="1034">
        <v>0.91</v>
      </c>
      <c r="AT32" s="993"/>
      <c r="AU32" s="947" t="s">
        <v>342</v>
      </c>
      <c r="AV32" s="942" t="s">
        <v>350</v>
      </c>
      <c r="AW32" s="943" t="s">
        <v>343</v>
      </c>
      <c r="AX32" s="943" t="s">
        <v>350</v>
      </c>
      <c r="AY32" s="943">
        <v>1</v>
      </c>
      <c r="AZ32" s="943">
        <v>1</v>
      </c>
      <c r="BA32" s="943">
        <v>1</v>
      </c>
      <c r="BB32" s="943">
        <v>0.31</v>
      </c>
      <c r="BC32" s="943">
        <v>0.21</v>
      </c>
      <c r="BD32" s="1084">
        <v>0.18</v>
      </c>
      <c r="BE32" s="1084" t="s">
        <v>343</v>
      </c>
      <c r="BF32" s="1084" t="s">
        <v>350</v>
      </c>
      <c r="BG32" s="1085">
        <v>0.5</v>
      </c>
      <c r="BH32" s="1086">
        <v>0.61</v>
      </c>
      <c r="BI32" s="993"/>
    </row>
    <row r="33" spans="2:61" ht="12.75" customHeight="1" x14ac:dyDescent="0.2">
      <c r="B33" s="947" t="s">
        <v>344</v>
      </c>
      <c r="C33" s="1176">
        <v>0.16</v>
      </c>
      <c r="D33" s="1177">
        <v>0.18</v>
      </c>
      <c r="E33" s="1177">
        <v>0.22</v>
      </c>
      <c r="F33" s="1177">
        <v>0.19</v>
      </c>
      <c r="G33" s="1177">
        <v>0.18</v>
      </c>
      <c r="H33" s="1177">
        <v>0.2</v>
      </c>
      <c r="I33" s="1030">
        <v>0.4</v>
      </c>
      <c r="J33" s="1177">
        <v>0.19</v>
      </c>
      <c r="K33" s="1177">
        <v>0.18</v>
      </c>
      <c r="L33" s="1177">
        <v>0.18</v>
      </c>
      <c r="M33" s="1177">
        <v>0.17</v>
      </c>
      <c r="N33" s="1179">
        <v>0.18</v>
      </c>
      <c r="O33" s="1034">
        <v>0.18</v>
      </c>
      <c r="P33" s="1182"/>
      <c r="Q33" s="1023" t="s">
        <v>344</v>
      </c>
      <c r="R33" s="948" t="s">
        <v>350</v>
      </c>
      <c r="S33" s="949" t="s">
        <v>350</v>
      </c>
      <c r="T33" s="949" t="s">
        <v>350</v>
      </c>
      <c r="U33" s="949" t="s">
        <v>350</v>
      </c>
      <c r="V33" s="949">
        <v>6.13</v>
      </c>
      <c r="W33" s="949">
        <v>6.17</v>
      </c>
      <c r="X33" s="949">
        <v>6.17</v>
      </c>
      <c r="Y33" s="949">
        <v>6.03</v>
      </c>
      <c r="Z33" s="949">
        <v>5.71</v>
      </c>
      <c r="AA33" s="949">
        <v>5.35</v>
      </c>
      <c r="AB33" s="949">
        <v>5.28</v>
      </c>
      <c r="AC33" s="950" t="s">
        <v>350</v>
      </c>
      <c r="AD33" s="1034">
        <v>5.9</v>
      </c>
      <c r="AE33" s="993"/>
      <c r="AF33" s="947" t="s">
        <v>345</v>
      </c>
      <c r="AG33" s="948">
        <v>1</v>
      </c>
      <c r="AH33" s="949">
        <v>1</v>
      </c>
      <c r="AI33" s="949">
        <v>1.02</v>
      </c>
      <c r="AJ33" s="949">
        <v>0.92</v>
      </c>
      <c r="AK33" s="949">
        <v>0.87</v>
      </c>
      <c r="AL33" s="949">
        <v>0.88</v>
      </c>
      <c r="AM33" s="949" t="s">
        <v>343</v>
      </c>
      <c r="AN33" s="949">
        <v>0.85</v>
      </c>
      <c r="AO33" s="949">
        <v>0.88</v>
      </c>
      <c r="AP33" s="949">
        <v>0.88</v>
      </c>
      <c r="AQ33" s="949">
        <v>0.88</v>
      </c>
      <c r="AR33" s="950">
        <v>0.89</v>
      </c>
      <c r="AS33" s="1034">
        <v>0.88</v>
      </c>
      <c r="AT33" s="993"/>
      <c r="AU33" s="947" t="s">
        <v>344</v>
      </c>
      <c r="AV33" s="1029" t="s">
        <v>343</v>
      </c>
      <c r="AW33" s="1030" t="s">
        <v>343</v>
      </c>
      <c r="AX33" s="1030" t="s">
        <v>343</v>
      </c>
      <c r="AY33" s="1030" t="s">
        <v>343</v>
      </c>
      <c r="AZ33" s="1030" t="s">
        <v>343</v>
      </c>
      <c r="BA33" s="1030" t="s">
        <v>343</v>
      </c>
      <c r="BB33" s="1030" t="s">
        <v>343</v>
      </c>
      <c r="BC33" s="1030" t="s">
        <v>343</v>
      </c>
      <c r="BD33" s="1030" t="s">
        <v>343</v>
      </c>
      <c r="BE33" s="1030" t="s">
        <v>343</v>
      </c>
      <c r="BF33" s="1030" t="s">
        <v>343</v>
      </c>
      <c r="BG33" s="1087" t="s">
        <v>343</v>
      </c>
      <c r="BH33" s="1034" t="s">
        <v>343</v>
      </c>
      <c r="BI33" s="993"/>
    </row>
    <row r="34" spans="2:61" x14ac:dyDescent="0.2">
      <c r="B34" s="947" t="s">
        <v>345</v>
      </c>
      <c r="C34" s="1176">
        <v>0.17</v>
      </c>
      <c r="D34" s="1177">
        <v>0.18</v>
      </c>
      <c r="E34" s="1177">
        <v>0.18</v>
      </c>
      <c r="F34" s="1177">
        <v>0.19</v>
      </c>
      <c r="G34" s="1177">
        <v>0.18</v>
      </c>
      <c r="H34" s="1177">
        <v>0.18</v>
      </c>
      <c r="I34" s="1030">
        <v>0.18</v>
      </c>
      <c r="J34" s="1030" t="s">
        <v>343</v>
      </c>
      <c r="K34" s="1177">
        <v>0.2</v>
      </c>
      <c r="L34" s="1177">
        <v>0.2</v>
      </c>
      <c r="M34" s="1177">
        <v>0.2</v>
      </c>
      <c r="N34" s="1179">
        <v>0.21</v>
      </c>
      <c r="O34" s="1174">
        <v>0.19</v>
      </c>
      <c r="P34" s="1182"/>
      <c r="Q34" s="1023" t="s">
        <v>345</v>
      </c>
      <c r="R34" s="948" t="s">
        <v>350</v>
      </c>
      <c r="S34" s="949">
        <v>9.3800000000000008</v>
      </c>
      <c r="T34" s="949">
        <v>9.4499999999999993</v>
      </c>
      <c r="U34" s="949" t="s">
        <v>350</v>
      </c>
      <c r="V34" s="949" t="s">
        <v>350</v>
      </c>
      <c r="W34" s="949" t="s">
        <v>350</v>
      </c>
      <c r="X34" s="949" t="s">
        <v>343</v>
      </c>
      <c r="Y34" s="949">
        <v>8.2899999999999991</v>
      </c>
      <c r="Z34" s="949">
        <v>6.54</v>
      </c>
      <c r="AA34" s="949">
        <v>6.33</v>
      </c>
      <c r="AB34" s="949">
        <v>4.1900000000000004</v>
      </c>
      <c r="AC34" s="950" t="s">
        <v>350</v>
      </c>
      <c r="AD34" s="1034">
        <v>6.14</v>
      </c>
      <c r="AE34" s="993"/>
      <c r="AF34" s="947" t="s">
        <v>346</v>
      </c>
      <c r="AG34" s="1188" t="s">
        <v>343</v>
      </c>
      <c r="AH34" s="1187" t="s">
        <v>343</v>
      </c>
      <c r="AI34" s="949" t="s">
        <v>343</v>
      </c>
      <c r="AJ34" s="949">
        <v>0.6</v>
      </c>
      <c r="AK34" s="949">
        <v>0.6</v>
      </c>
      <c r="AL34" s="949">
        <v>0.61</v>
      </c>
      <c r="AM34" s="953" t="s">
        <v>343</v>
      </c>
      <c r="AN34" s="953" t="s">
        <v>343</v>
      </c>
      <c r="AO34" s="1187" t="s">
        <v>343</v>
      </c>
      <c r="AP34" s="1187" t="s">
        <v>343</v>
      </c>
      <c r="AQ34" s="1187" t="s">
        <v>343</v>
      </c>
      <c r="AR34" s="954" t="s">
        <v>343</v>
      </c>
      <c r="AS34" s="1034">
        <v>0.6</v>
      </c>
      <c r="AT34" s="993"/>
      <c r="AU34" s="947" t="s">
        <v>345</v>
      </c>
      <c r="AV34" s="948">
        <v>0.53</v>
      </c>
      <c r="AW34" s="949">
        <v>0.53</v>
      </c>
      <c r="AX34" s="949">
        <v>0.5</v>
      </c>
      <c r="AY34" s="949">
        <v>0.56000000000000005</v>
      </c>
      <c r="AZ34" s="949">
        <v>0.53</v>
      </c>
      <c r="BA34" s="949">
        <v>0.62</v>
      </c>
      <c r="BB34" s="949" t="s">
        <v>343</v>
      </c>
      <c r="BC34" s="949">
        <v>0.98</v>
      </c>
      <c r="BD34" s="949">
        <v>0.66</v>
      </c>
      <c r="BE34" s="949">
        <v>0.77</v>
      </c>
      <c r="BF34" s="949">
        <v>1.2</v>
      </c>
      <c r="BG34" s="950">
        <v>0.92</v>
      </c>
      <c r="BH34" s="1034">
        <v>0.65</v>
      </c>
      <c r="BI34" s="993"/>
    </row>
    <row r="35" spans="2:61" ht="12.75" customHeight="1" thickBot="1" x14ac:dyDescent="0.25">
      <c r="B35" s="947" t="s">
        <v>346</v>
      </c>
      <c r="C35" s="1029" t="s">
        <v>343</v>
      </c>
      <c r="D35" s="1030" t="s">
        <v>343</v>
      </c>
      <c r="E35" s="1030" t="s">
        <v>343</v>
      </c>
      <c r="F35" s="1030" t="s">
        <v>343</v>
      </c>
      <c r="G35" s="1030" t="s">
        <v>343</v>
      </c>
      <c r="H35" s="1030" t="s">
        <v>343</v>
      </c>
      <c r="I35" s="1030" t="s">
        <v>343</v>
      </c>
      <c r="J35" s="1030" t="s">
        <v>343</v>
      </c>
      <c r="K35" s="1030" t="s">
        <v>343</v>
      </c>
      <c r="L35" s="1030" t="s">
        <v>343</v>
      </c>
      <c r="M35" s="1030" t="s">
        <v>343</v>
      </c>
      <c r="N35" s="1087" t="s">
        <v>343</v>
      </c>
      <c r="O35" s="1034" t="s">
        <v>343</v>
      </c>
      <c r="P35" s="1182"/>
      <c r="Q35" s="1023" t="s">
        <v>346</v>
      </c>
      <c r="R35" s="948" t="s">
        <v>350</v>
      </c>
      <c r="S35" s="949" t="s">
        <v>350</v>
      </c>
      <c r="T35" s="949" t="s">
        <v>350</v>
      </c>
      <c r="U35" s="949">
        <v>6.5</v>
      </c>
      <c r="V35" s="949">
        <v>6.5</v>
      </c>
      <c r="W35" s="949">
        <v>6.5</v>
      </c>
      <c r="X35" s="949">
        <v>6.5</v>
      </c>
      <c r="Y35" s="949">
        <v>5.57</v>
      </c>
      <c r="Z35" s="949">
        <v>4.76</v>
      </c>
      <c r="AA35" s="949">
        <v>4.5</v>
      </c>
      <c r="AB35" s="949">
        <v>4.5</v>
      </c>
      <c r="AC35" s="950" t="s">
        <v>350</v>
      </c>
      <c r="AD35" s="1034">
        <v>5.48</v>
      </c>
      <c r="AE35" s="993"/>
      <c r="AF35" s="947" t="s">
        <v>347</v>
      </c>
      <c r="AG35" s="1040" t="s">
        <v>343</v>
      </c>
      <c r="AH35" s="957" t="s">
        <v>343</v>
      </c>
      <c r="AI35" s="957" t="s">
        <v>350</v>
      </c>
      <c r="AJ35" s="957" t="s">
        <v>343</v>
      </c>
      <c r="AK35" s="957" t="s">
        <v>343</v>
      </c>
      <c r="AL35" s="957" t="s">
        <v>343</v>
      </c>
      <c r="AM35" s="957" t="s">
        <v>343</v>
      </c>
      <c r="AN35" s="957" t="s">
        <v>343</v>
      </c>
      <c r="AO35" s="957" t="s">
        <v>343</v>
      </c>
      <c r="AP35" s="957" t="s">
        <v>343</v>
      </c>
      <c r="AQ35" s="957" t="s">
        <v>343</v>
      </c>
      <c r="AR35" s="958" t="s">
        <v>343</v>
      </c>
      <c r="AS35" s="959" t="s">
        <v>350</v>
      </c>
      <c r="AT35" s="993"/>
      <c r="AU35" s="947" t="s">
        <v>346</v>
      </c>
      <c r="AV35" s="948">
        <v>0.3</v>
      </c>
      <c r="AW35" s="949">
        <v>0.3</v>
      </c>
      <c r="AX35" s="949">
        <v>0.3</v>
      </c>
      <c r="AY35" s="1066">
        <v>0.3</v>
      </c>
      <c r="AZ35" s="949">
        <v>0.28000000000000003</v>
      </c>
      <c r="BA35" s="949">
        <v>0.2</v>
      </c>
      <c r="BB35" s="1030">
        <v>0.2</v>
      </c>
      <c r="BC35" s="953" t="s">
        <v>350</v>
      </c>
      <c r="BD35" s="1030" t="s">
        <v>350</v>
      </c>
      <c r="BE35" s="1030" t="s">
        <v>350</v>
      </c>
      <c r="BF35" s="1030" t="s">
        <v>343</v>
      </c>
      <c r="BG35" s="954">
        <v>0.2</v>
      </c>
      <c r="BH35" s="1034">
        <v>0.28000000000000003</v>
      </c>
      <c r="BI35" s="993"/>
    </row>
    <row r="36" spans="2:61" ht="12.75" customHeight="1" thickBot="1" x14ac:dyDescent="0.25">
      <c r="B36" s="947" t="s">
        <v>347</v>
      </c>
      <c r="C36" s="955" t="s">
        <v>343</v>
      </c>
      <c r="D36" s="956" t="s">
        <v>343</v>
      </c>
      <c r="E36" s="956" t="s">
        <v>343</v>
      </c>
      <c r="F36" s="956" t="s">
        <v>343</v>
      </c>
      <c r="G36" s="956" t="s">
        <v>343</v>
      </c>
      <c r="H36" s="956" t="s">
        <v>343</v>
      </c>
      <c r="I36" s="956" t="s">
        <v>343</v>
      </c>
      <c r="J36" s="956" t="s">
        <v>343</v>
      </c>
      <c r="K36" s="956" t="s">
        <v>343</v>
      </c>
      <c r="L36" s="956" t="s">
        <v>343</v>
      </c>
      <c r="M36" s="956" t="s">
        <v>343</v>
      </c>
      <c r="N36" s="1088" t="s">
        <v>343</v>
      </c>
      <c r="O36" s="1042" t="s">
        <v>343</v>
      </c>
      <c r="P36" s="1182"/>
      <c r="Q36" s="1023" t="s">
        <v>347</v>
      </c>
      <c r="R36" s="955" t="s">
        <v>343</v>
      </c>
      <c r="S36" s="956" t="s">
        <v>343</v>
      </c>
      <c r="T36" s="956" t="s">
        <v>343</v>
      </c>
      <c r="U36" s="956" t="s">
        <v>343</v>
      </c>
      <c r="V36" s="956" t="s">
        <v>343</v>
      </c>
      <c r="W36" s="956" t="s">
        <v>343</v>
      </c>
      <c r="X36" s="956" t="s">
        <v>343</v>
      </c>
      <c r="Y36" s="956" t="s">
        <v>350</v>
      </c>
      <c r="Z36" s="956" t="s">
        <v>350</v>
      </c>
      <c r="AA36" s="956" t="s">
        <v>350</v>
      </c>
      <c r="AB36" s="956" t="s">
        <v>350</v>
      </c>
      <c r="AC36" s="1088" t="s">
        <v>343</v>
      </c>
      <c r="AD36" s="959" t="s">
        <v>350</v>
      </c>
      <c r="AE36" s="993"/>
      <c r="AF36" s="1028" t="s">
        <v>348</v>
      </c>
      <c r="AG36" s="1075">
        <v>1.1599999999999999</v>
      </c>
      <c r="AH36" s="1076">
        <v>1.04</v>
      </c>
      <c r="AI36" s="1076">
        <v>1.1399999999999999</v>
      </c>
      <c r="AJ36" s="1076">
        <v>0.81</v>
      </c>
      <c r="AK36" s="1076">
        <v>0.83</v>
      </c>
      <c r="AL36" s="1076">
        <v>0.8</v>
      </c>
      <c r="AM36" s="1076">
        <v>1.2</v>
      </c>
      <c r="AN36" s="1076">
        <v>1.06</v>
      </c>
      <c r="AO36" s="1076">
        <v>0.92</v>
      </c>
      <c r="AP36" s="1076">
        <v>0.98</v>
      </c>
      <c r="AQ36" s="1076">
        <v>0.97</v>
      </c>
      <c r="AR36" s="1077">
        <v>0.89</v>
      </c>
      <c r="AS36" s="1052">
        <v>0.85</v>
      </c>
      <c r="AT36" s="993"/>
      <c r="AU36" s="947" t="s">
        <v>347</v>
      </c>
      <c r="AV36" s="955" t="s">
        <v>343</v>
      </c>
      <c r="AW36" s="956" t="s">
        <v>343</v>
      </c>
      <c r="AX36" s="956" t="s">
        <v>343</v>
      </c>
      <c r="AY36" s="956" t="s">
        <v>343</v>
      </c>
      <c r="AZ36" s="956" t="s">
        <v>343</v>
      </c>
      <c r="BA36" s="956" t="s">
        <v>343</v>
      </c>
      <c r="BB36" s="956" t="s">
        <v>343</v>
      </c>
      <c r="BC36" s="956" t="s">
        <v>343</v>
      </c>
      <c r="BD36" s="956" t="s">
        <v>343</v>
      </c>
      <c r="BE36" s="956" t="s">
        <v>343</v>
      </c>
      <c r="BF36" s="956" t="s">
        <v>343</v>
      </c>
      <c r="BG36" s="1088" t="s">
        <v>343</v>
      </c>
      <c r="BH36" s="1042" t="s">
        <v>343</v>
      </c>
      <c r="BI36" s="993"/>
    </row>
    <row r="37" spans="2:61" ht="12.75" customHeight="1" thickBot="1" x14ac:dyDescent="0.25">
      <c r="B37" s="1028" t="s">
        <v>348</v>
      </c>
      <c r="C37" s="1119">
        <v>0.17</v>
      </c>
      <c r="D37" s="1050">
        <v>0.18</v>
      </c>
      <c r="E37" s="1050">
        <v>0.19</v>
      </c>
      <c r="F37" s="1050">
        <v>0.19</v>
      </c>
      <c r="G37" s="1050">
        <v>0.18</v>
      </c>
      <c r="H37" s="1050">
        <v>0.18</v>
      </c>
      <c r="I37" s="1189">
        <v>0.2</v>
      </c>
      <c r="J37" s="1050">
        <v>0.19</v>
      </c>
      <c r="K37" s="1050">
        <v>0.19</v>
      </c>
      <c r="L37" s="1050">
        <v>0.19</v>
      </c>
      <c r="M37" s="1050">
        <v>0.19</v>
      </c>
      <c r="N37" s="1051">
        <v>0.2</v>
      </c>
      <c r="O37" s="1120">
        <v>0.18</v>
      </c>
      <c r="P37" s="1182"/>
      <c r="Q37" s="1011" t="s">
        <v>348</v>
      </c>
      <c r="R37" s="1075" t="s">
        <v>350</v>
      </c>
      <c r="S37" s="1076">
        <v>8.9600000000000009</v>
      </c>
      <c r="T37" s="1076">
        <v>9.11</v>
      </c>
      <c r="U37" s="1076">
        <v>6.58</v>
      </c>
      <c r="V37" s="1076">
        <v>6.44</v>
      </c>
      <c r="W37" s="1076">
        <v>6.48</v>
      </c>
      <c r="X37" s="1076">
        <v>6.48</v>
      </c>
      <c r="Y37" s="1076">
        <v>5.86</v>
      </c>
      <c r="Z37" s="1076">
        <v>5.31</v>
      </c>
      <c r="AA37" s="1076">
        <v>5.95</v>
      </c>
      <c r="AB37" s="1076">
        <v>4.29</v>
      </c>
      <c r="AC37" s="1077" t="s">
        <v>350</v>
      </c>
      <c r="AD37" s="1052">
        <v>5.83</v>
      </c>
      <c r="AE37" s="993"/>
      <c r="AF37" s="1180"/>
      <c r="AG37" s="1058"/>
      <c r="AH37" s="1058"/>
      <c r="AI37" s="1058"/>
      <c r="AJ37" s="1058"/>
      <c r="AK37" s="1058"/>
      <c r="AL37" s="1058"/>
      <c r="AM37" s="1058"/>
      <c r="AN37" s="1058"/>
      <c r="AO37" s="1058"/>
      <c r="AP37" s="1058"/>
      <c r="AQ37" s="1058"/>
      <c r="AR37" s="1058"/>
      <c r="AS37" s="1058"/>
      <c r="AT37" s="993"/>
      <c r="AU37" s="1028" t="s">
        <v>348</v>
      </c>
      <c r="AV37" s="1075">
        <v>0.46</v>
      </c>
      <c r="AW37" s="1076">
        <v>0.47</v>
      </c>
      <c r="AX37" s="1076">
        <v>0.45</v>
      </c>
      <c r="AY37" s="1076">
        <v>0.51</v>
      </c>
      <c r="AZ37" s="1076">
        <v>0.45</v>
      </c>
      <c r="BA37" s="1076">
        <v>0.54</v>
      </c>
      <c r="BB37" s="1076">
        <v>0.27</v>
      </c>
      <c r="BC37" s="1076">
        <v>0.46</v>
      </c>
      <c r="BD37" s="1076">
        <v>0.56000000000000005</v>
      </c>
      <c r="BE37" s="1076">
        <v>0.73</v>
      </c>
      <c r="BF37" s="1076">
        <v>1.18</v>
      </c>
      <c r="BG37" s="1077">
        <v>0.64</v>
      </c>
      <c r="BH37" s="1052">
        <v>0.52</v>
      </c>
      <c r="BI37" s="993"/>
    </row>
    <row r="38" spans="2:61" ht="12.75" customHeight="1" thickBot="1" x14ac:dyDescent="0.25">
      <c r="B38" s="996" t="s">
        <v>544</v>
      </c>
      <c r="C38" s="1089"/>
      <c r="D38" s="1089"/>
      <c r="E38" s="1089"/>
      <c r="F38" s="1089"/>
      <c r="G38" s="1089"/>
      <c r="H38" s="1089"/>
      <c r="I38" s="1089"/>
      <c r="J38" s="1089"/>
      <c r="K38" s="1089"/>
      <c r="L38" s="1089"/>
      <c r="M38" s="1089"/>
      <c r="N38" s="1089"/>
      <c r="O38" s="1069"/>
      <c r="P38" s="1182"/>
      <c r="Q38" s="997" t="s">
        <v>357</v>
      </c>
      <c r="R38" s="1090"/>
      <c r="S38" s="1090"/>
      <c r="T38" s="1090"/>
      <c r="U38" s="1090"/>
      <c r="V38" s="1090"/>
      <c r="W38" s="1090"/>
      <c r="X38" s="1090"/>
      <c r="Y38" s="1090"/>
      <c r="Z38" s="1090"/>
      <c r="AA38" s="1090"/>
      <c r="AB38" s="1090"/>
      <c r="AC38" s="1090"/>
      <c r="AD38" s="999"/>
      <c r="AE38" s="993"/>
      <c r="AF38" s="1000" t="s">
        <v>112</v>
      </c>
      <c r="AG38" s="1001"/>
      <c r="AH38" s="1001"/>
      <c r="AI38" s="1001"/>
      <c r="AJ38" s="1001"/>
      <c r="AK38" s="1001"/>
      <c r="AL38" s="1001"/>
      <c r="AM38" s="1001"/>
      <c r="AN38" s="1001"/>
      <c r="AO38" s="1001"/>
      <c r="AP38" s="1001"/>
      <c r="AQ38" s="1001"/>
      <c r="AR38" s="1001"/>
      <c r="AS38" s="1002"/>
      <c r="AT38" s="993"/>
      <c r="AU38" s="1068" t="s">
        <v>362</v>
      </c>
      <c r="AV38" s="1091"/>
      <c r="AW38" s="1091"/>
      <c r="AX38" s="1091"/>
      <c r="AY38" s="1091"/>
      <c r="AZ38" s="1091"/>
      <c r="BA38" s="1091"/>
      <c r="BB38" s="1091"/>
      <c r="BC38" s="1091"/>
      <c r="BD38" s="1091"/>
      <c r="BE38" s="1091"/>
      <c r="BF38" s="1091"/>
      <c r="BG38" s="1091"/>
      <c r="BH38" s="1092"/>
      <c r="BI38" s="993"/>
    </row>
    <row r="39" spans="2:61" ht="13.5" thickBot="1" x14ac:dyDescent="0.25">
      <c r="B39" s="1028" t="s">
        <v>340</v>
      </c>
      <c r="C39" s="1012">
        <v>1</v>
      </c>
      <c r="D39" s="1013">
        <v>2</v>
      </c>
      <c r="E39" s="1013">
        <v>3</v>
      </c>
      <c r="F39" s="1013">
        <v>4</v>
      </c>
      <c r="G39" s="1013">
        <v>5</v>
      </c>
      <c r="H39" s="1013">
        <v>6</v>
      </c>
      <c r="I39" s="1013">
        <v>7</v>
      </c>
      <c r="J39" s="1013">
        <v>8</v>
      </c>
      <c r="K39" s="1013">
        <v>9</v>
      </c>
      <c r="L39" s="1013">
        <v>10</v>
      </c>
      <c r="M39" s="1013">
        <v>11</v>
      </c>
      <c r="N39" s="1014">
        <v>12</v>
      </c>
      <c r="O39" s="1015" t="s">
        <v>341</v>
      </c>
      <c r="P39" s="993"/>
      <c r="Q39" s="1011" t="s">
        <v>340</v>
      </c>
      <c r="R39" s="1093">
        <v>1</v>
      </c>
      <c r="S39" s="1094">
        <v>2</v>
      </c>
      <c r="T39" s="1094">
        <v>3</v>
      </c>
      <c r="U39" s="1094">
        <v>4</v>
      </c>
      <c r="V39" s="1094">
        <v>5</v>
      </c>
      <c r="W39" s="1094">
        <v>6</v>
      </c>
      <c r="X39" s="1094">
        <v>7</v>
      </c>
      <c r="Y39" s="1094">
        <v>8</v>
      </c>
      <c r="Z39" s="1094">
        <v>9</v>
      </c>
      <c r="AA39" s="1094">
        <v>10</v>
      </c>
      <c r="AB39" s="1094">
        <v>11</v>
      </c>
      <c r="AC39" s="1095">
        <v>12</v>
      </c>
      <c r="AD39" s="1096" t="s">
        <v>341</v>
      </c>
      <c r="AE39" s="993"/>
      <c r="AF39" s="1011" t="s">
        <v>340</v>
      </c>
      <c r="AG39" s="1012">
        <v>1</v>
      </c>
      <c r="AH39" s="1013">
        <v>2</v>
      </c>
      <c r="AI39" s="1013">
        <v>3</v>
      </c>
      <c r="AJ39" s="1013">
        <v>4</v>
      </c>
      <c r="AK39" s="1013">
        <v>5</v>
      </c>
      <c r="AL39" s="1013">
        <v>6</v>
      </c>
      <c r="AM39" s="1013">
        <v>7</v>
      </c>
      <c r="AN39" s="1013">
        <v>8</v>
      </c>
      <c r="AO39" s="1013">
        <v>9</v>
      </c>
      <c r="AP39" s="1013">
        <v>10</v>
      </c>
      <c r="AQ39" s="1013">
        <v>11</v>
      </c>
      <c r="AR39" s="1014">
        <v>12</v>
      </c>
      <c r="AS39" s="1015" t="s">
        <v>341</v>
      </c>
      <c r="AT39" s="993"/>
      <c r="AU39" s="1028" t="s">
        <v>340</v>
      </c>
      <c r="AV39" s="1012">
        <v>1</v>
      </c>
      <c r="AW39" s="1013">
        <v>2</v>
      </c>
      <c r="AX39" s="1013">
        <v>3</v>
      </c>
      <c r="AY39" s="1013">
        <v>4</v>
      </c>
      <c r="AZ39" s="1013">
        <v>5</v>
      </c>
      <c r="BA39" s="1013">
        <v>6</v>
      </c>
      <c r="BB39" s="1013">
        <v>7</v>
      </c>
      <c r="BC39" s="1013">
        <v>8</v>
      </c>
      <c r="BD39" s="1013">
        <v>9</v>
      </c>
      <c r="BE39" s="1013">
        <v>10</v>
      </c>
      <c r="BF39" s="1013">
        <v>11</v>
      </c>
      <c r="BG39" s="1014">
        <v>12</v>
      </c>
      <c r="BH39" s="1015" t="s">
        <v>341</v>
      </c>
      <c r="BI39" s="993"/>
    </row>
    <row r="40" spans="2:61" ht="12.75" customHeight="1" x14ac:dyDescent="0.2">
      <c r="B40" s="947" t="s">
        <v>342</v>
      </c>
      <c r="C40" s="1018" t="s">
        <v>343</v>
      </c>
      <c r="D40" s="1019" t="s">
        <v>343</v>
      </c>
      <c r="E40" s="1019" t="s">
        <v>343</v>
      </c>
      <c r="F40" s="1019" t="s">
        <v>343</v>
      </c>
      <c r="G40" s="1019">
        <v>0.18</v>
      </c>
      <c r="H40" s="1019" t="s">
        <v>343</v>
      </c>
      <c r="I40" s="1019" t="s">
        <v>343</v>
      </c>
      <c r="J40" s="1019" t="s">
        <v>343</v>
      </c>
      <c r="K40" s="1019" t="s">
        <v>343</v>
      </c>
      <c r="L40" s="1019" t="s">
        <v>343</v>
      </c>
      <c r="M40" s="1019" t="s">
        <v>343</v>
      </c>
      <c r="N40" s="1083" t="s">
        <v>343</v>
      </c>
      <c r="O40" s="946">
        <v>0.18</v>
      </c>
      <c r="P40" s="993"/>
      <c r="Q40" s="1023" t="s">
        <v>342</v>
      </c>
      <c r="R40" s="1097">
        <v>5.7</v>
      </c>
      <c r="S40" s="1098" t="s">
        <v>350</v>
      </c>
      <c r="T40" s="1098">
        <v>5.56</v>
      </c>
      <c r="U40" s="1098">
        <v>5.48</v>
      </c>
      <c r="V40" s="1099">
        <v>6.5</v>
      </c>
      <c r="W40" s="1099">
        <v>6.42</v>
      </c>
      <c r="X40" s="1099">
        <v>5.88</v>
      </c>
      <c r="Y40" s="1099">
        <v>6.12</v>
      </c>
      <c r="Z40" s="1099">
        <v>5.43</v>
      </c>
      <c r="AA40" s="1099">
        <v>4.34</v>
      </c>
      <c r="AB40" s="1098">
        <v>4.24</v>
      </c>
      <c r="AC40" s="1100" t="s">
        <v>350</v>
      </c>
      <c r="AD40" s="967">
        <v>4.9800000000000004</v>
      </c>
      <c r="AE40" s="993"/>
      <c r="AF40" s="1023" t="s">
        <v>342</v>
      </c>
      <c r="AG40" s="1024">
        <v>2.9</v>
      </c>
      <c r="AH40" s="1084">
        <v>2.91</v>
      </c>
      <c r="AI40" s="1084">
        <v>2.89</v>
      </c>
      <c r="AJ40" s="1084">
        <v>2.88</v>
      </c>
      <c r="AK40" s="1084">
        <v>2.4900000000000002</v>
      </c>
      <c r="AL40" s="1025">
        <v>2.4900000000000002</v>
      </c>
      <c r="AM40" s="1025">
        <v>2.34</v>
      </c>
      <c r="AN40" s="1025">
        <v>2.46</v>
      </c>
      <c r="AO40" s="1025">
        <v>1.85</v>
      </c>
      <c r="AP40" s="1025">
        <v>1.54</v>
      </c>
      <c r="AQ40" s="1084">
        <v>2.27</v>
      </c>
      <c r="AR40" s="1101">
        <v>2.4900000000000002</v>
      </c>
      <c r="AS40" s="1064">
        <v>2.37</v>
      </c>
      <c r="AT40" s="993"/>
      <c r="AU40" s="947" t="s">
        <v>342</v>
      </c>
      <c r="AV40" s="1102" t="s">
        <v>350</v>
      </c>
      <c r="AW40" s="1084" t="s">
        <v>343</v>
      </c>
      <c r="AX40" s="943" t="s">
        <v>350</v>
      </c>
      <c r="AY40" s="943" t="s">
        <v>343</v>
      </c>
      <c r="AZ40" s="943">
        <v>0.5</v>
      </c>
      <c r="BA40" s="943">
        <v>0.25</v>
      </c>
      <c r="BB40" s="943">
        <v>0.1</v>
      </c>
      <c r="BC40" s="943">
        <v>0.1</v>
      </c>
      <c r="BD40" s="1065">
        <v>0.1</v>
      </c>
      <c r="BE40" s="943" t="s">
        <v>350</v>
      </c>
      <c r="BF40" s="1065" t="s">
        <v>350</v>
      </c>
      <c r="BG40" s="1070" t="s">
        <v>350</v>
      </c>
      <c r="BH40" s="946">
        <v>0.23</v>
      </c>
      <c r="BI40" s="993"/>
    </row>
    <row r="41" spans="2:61" ht="13.5" thickBot="1" x14ac:dyDescent="0.25">
      <c r="B41" s="947" t="s">
        <v>344</v>
      </c>
      <c r="C41" s="1176" t="s">
        <v>343</v>
      </c>
      <c r="D41" s="1177">
        <v>0.14000000000000001</v>
      </c>
      <c r="E41" s="1177" t="s">
        <v>343</v>
      </c>
      <c r="F41" s="1177" t="s">
        <v>343</v>
      </c>
      <c r="G41" s="1177">
        <v>0.18</v>
      </c>
      <c r="H41" s="953" t="s">
        <v>343</v>
      </c>
      <c r="I41" s="1030" t="s">
        <v>343</v>
      </c>
      <c r="J41" s="953" t="s">
        <v>343</v>
      </c>
      <c r="K41" s="953" t="s">
        <v>343</v>
      </c>
      <c r="L41" s="1030" t="s">
        <v>343</v>
      </c>
      <c r="M41" s="1030">
        <v>0.17</v>
      </c>
      <c r="N41" s="1087">
        <v>0.17</v>
      </c>
      <c r="O41" s="1034">
        <v>0.17</v>
      </c>
      <c r="P41" s="1181"/>
      <c r="Q41" s="1023" t="s">
        <v>344</v>
      </c>
      <c r="R41" s="1103">
        <v>5.6</v>
      </c>
      <c r="S41" s="949">
        <v>5.6</v>
      </c>
      <c r="T41" s="949">
        <v>5.94</v>
      </c>
      <c r="U41" s="949">
        <v>5.93</v>
      </c>
      <c r="V41" s="949">
        <v>5.77</v>
      </c>
      <c r="W41" s="949">
        <v>5.75</v>
      </c>
      <c r="X41" s="949">
        <v>5.74</v>
      </c>
      <c r="Y41" s="949">
        <v>5.66</v>
      </c>
      <c r="Z41" s="949">
        <v>4.93</v>
      </c>
      <c r="AA41" s="949">
        <v>4.72</v>
      </c>
      <c r="AB41" s="949">
        <v>5.01</v>
      </c>
      <c r="AC41" s="950">
        <v>5.01</v>
      </c>
      <c r="AD41" s="1034">
        <v>5.22</v>
      </c>
      <c r="AE41" s="993"/>
      <c r="AF41" s="1023" t="s">
        <v>344</v>
      </c>
      <c r="AG41" s="1040" t="s">
        <v>343</v>
      </c>
      <c r="AH41" s="957" t="s">
        <v>343</v>
      </c>
      <c r="AI41" s="957" t="s">
        <v>343</v>
      </c>
      <c r="AJ41" s="957" t="s">
        <v>343</v>
      </c>
      <c r="AK41" s="1044">
        <v>2.2400000000000002</v>
      </c>
      <c r="AL41" s="1044">
        <v>2.2000000000000002</v>
      </c>
      <c r="AM41" s="957">
        <v>2.2000000000000002</v>
      </c>
      <c r="AN41" s="957" t="s">
        <v>343</v>
      </c>
      <c r="AO41" s="1044" t="s">
        <v>343</v>
      </c>
      <c r="AP41" s="1044" t="s">
        <v>350</v>
      </c>
      <c r="AQ41" s="957" t="s">
        <v>343</v>
      </c>
      <c r="AR41" s="958" t="s">
        <v>343</v>
      </c>
      <c r="AS41" s="1046">
        <v>2.2000000000000002</v>
      </c>
      <c r="AT41" s="993"/>
      <c r="AU41" s="947" t="s">
        <v>344</v>
      </c>
      <c r="AV41" s="1029" t="s">
        <v>343</v>
      </c>
      <c r="AW41" s="1030" t="s">
        <v>343</v>
      </c>
      <c r="AX41" s="1030" t="s">
        <v>343</v>
      </c>
      <c r="AY41" s="1030" t="s">
        <v>343</v>
      </c>
      <c r="AZ41" s="1030" t="s">
        <v>343</v>
      </c>
      <c r="BA41" s="1030" t="s">
        <v>343</v>
      </c>
      <c r="BB41" s="1030" t="s">
        <v>343</v>
      </c>
      <c r="BC41" s="1030" t="s">
        <v>343</v>
      </c>
      <c r="BD41" s="1030" t="s">
        <v>343</v>
      </c>
      <c r="BE41" s="1030" t="s">
        <v>343</v>
      </c>
      <c r="BF41" s="1030" t="s">
        <v>343</v>
      </c>
      <c r="BG41" s="1087" t="s">
        <v>343</v>
      </c>
      <c r="BH41" s="1034" t="s">
        <v>343</v>
      </c>
      <c r="BI41" s="993"/>
    </row>
    <row r="42" spans="2:61" ht="13.5" thickBot="1" x14ac:dyDescent="0.25">
      <c r="B42" s="947" t="s">
        <v>345</v>
      </c>
      <c r="C42" s="1176">
        <v>0.14000000000000001</v>
      </c>
      <c r="D42" s="1177">
        <v>0.14000000000000001</v>
      </c>
      <c r="E42" s="1177" t="s">
        <v>343</v>
      </c>
      <c r="F42" s="1177">
        <v>0.18</v>
      </c>
      <c r="G42" s="1177">
        <v>0.17</v>
      </c>
      <c r="H42" s="1177">
        <v>0.18</v>
      </c>
      <c r="I42" s="1030" t="s">
        <v>343</v>
      </c>
      <c r="J42" s="1066" t="s">
        <v>343</v>
      </c>
      <c r="K42" s="1066">
        <v>0.19</v>
      </c>
      <c r="L42" s="1066">
        <v>0.18</v>
      </c>
      <c r="M42" s="1066">
        <v>0.19</v>
      </c>
      <c r="N42" s="1190">
        <v>0.19</v>
      </c>
      <c r="O42" s="1034">
        <v>0.18</v>
      </c>
      <c r="P42" s="1182"/>
      <c r="Q42" s="1023" t="s">
        <v>345</v>
      </c>
      <c r="R42" s="1103">
        <v>5.51</v>
      </c>
      <c r="S42" s="949">
        <v>5.51</v>
      </c>
      <c r="T42" s="949">
        <v>5.59</v>
      </c>
      <c r="U42" s="949">
        <v>7.28</v>
      </c>
      <c r="V42" s="949">
        <v>5.98</v>
      </c>
      <c r="W42" s="949">
        <v>6.17</v>
      </c>
      <c r="X42" s="949">
        <v>6.25</v>
      </c>
      <c r="Y42" s="949">
        <v>6.22</v>
      </c>
      <c r="Z42" s="949">
        <v>6.14</v>
      </c>
      <c r="AA42" s="949">
        <v>5.83</v>
      </c>
      <c r="AB42" s="949">
        <v>4.95</v>
      </c>
      <c r="AC42" s="950">
        <v>4.43</v>
      </c>
      <c r="AD42" s="1034">
        <v>5.81</v>
      </c>
      <c r="AE42" s="993"/>
      <c r="AF42" s="1011" t="s">
        <v>348</v>
      </c>
      <c r="AG42" s="1053">
        <v>2.9</v>
      </c>
      <c r="AH42" s="1050">
        <v>2.91</v>
      </c>
      <c r="AI42" s="1050">
        <v>2.89</v>
      </c>
      <c r="AJ42" s="1050">
        <v>2.88</v>
      </c>
      <c r="AK42" s="1054">
        <v>2.4900000000000002</v>
      </c>
      <c r="AL42" s="1054">
        <v>2.46</v>
      </c>
      <c r="AM42" s="1054">
        <v>2.3199999999999998</v>
      </c>
      <c r="AN42" s="1054">
        <v>2.46</v>
      </c>
      <c r="AO42" s="1054">
        <v>1.85</v>
      </c>
      <c r="AP42" s="1054">
        <v>1.54</v>
      </c>
      <c r="AQ42" s="1050">
        <v>2.27</v>
      </c>
      <c r="AR42" s="1051">
        <v>2.4900000000000002</v>
      </c>
      <c r="AS42" s="1052">
        <v>2.36</v>
      </c>
      <c r="AT42" s="993"/>
      <c r="AU42" s="947" t="s">
        <v>345</v>
      </c>
      <c r="AV42" s="948">
        <v>0.16</v>
      </c>
      <c r="AW42" s="949">
        <v>0.34</v>
      </c>
      <c r="AX42" s="949">
        <v>0.28000000000000003</v>
      </c>
      <c r="AY42" s="949" t="s">
        <v>350</v>
      </c>
      <c r="AZ42" s="949">
        <v>0.06</v>
      </c>
      <c r="BA42" s="949">
        <v>0.04</v>
      </c>
      <c r="BB42" s="949" t="s">
        <v>343</v>
      </c>
      <c r="BC42" s="949">
        <v>0.25</v>
      </c>
      <c r="BD42" s="949" t="s">
        <v>350</v>
      </c>
      <c r="BE42" s="949" t="s">
        <v>350</v>
      </c>
      <c r="BF42" s="949">
        <v>0.1</v>
      </c>
      <c r="BG42" s="950">
        <v>0.14000000000000001</v>
      </c>
      <c r="BH42" s="1034">
        <v>0.09</v>
      </c>
      <c r="BI42" s="993"/>
    </row>
    <row r="43" spans="2:61" ht="13.5" thickBot="1" x14ac:dyDescent="0.25">
      <c r="B43" s="947" t="s">
        <v>346</v>
      </c>
      <c r="C43" s="1029" t="s">
        <v>343</v>
      </c>
      <c r="D43" s="1030" t="s">
        <v>343</v>
      </c>
      <c r="E43" s="1030" t="s">
        <v>343</v>
      </c>
      <c r="F43" s="1030" t="s">
        <v>343</v>
      </c>
      <c r="G43" s="1030" t="s">
        <v>343</v>
      </c>
      <c r="H43" s="1030" t="s">
        <v>343</v>
      </c>
      <c r="I43" s="1030" t="s">
        <v>343</v>
      </c>
      <c r="J43" s="1030" t="s">
        <v>343</v>
      </c>
      <c r="K43" s="1030" t="s">
        <v>343</v>
      </c>
      <c r="L43" s="1030" t="s">
        <v>343</v>
      </c>
      <c r="M43" s="1030" t="s">
        <v>343</v>
      </c>
      <c r="N43" s="1087" t="s">
        <v>343</v>
      </c>
      <c r="O43" s="1034" t="s">
        <v>343</v>
      </c>
      <c r="P43" s="1182"/>
      <c r="Q43" s="1023" t="s">
        <v>346</v>
      </c>
      <c r="R43" s="1103" t="s">
        <v>350</v>
      </c>
      <c r="S43" s="949" t="s">
        <v>350</v>
      </c>
      <c r="T43" s="949" t="s">
        <v>350</v>
      </c>
      <c r="U43" s="949">
        <v>5.5</v>
      </c>
      <c r="V43" s="949">
        <v>5.5</v>
      </c>
      <c r="W43" s="949">
        <v>5.5</v>
      </c>
      <c r="X43" s="949">
        <v>5.5</v>
      </c>
      <c r="Y43" s="949">
        <v>4.58</v>
      </c>
      <c r="Z43" s="949">
        <v>3.51</v>
      </c>
      <c r="AA43" s="949">
        <v>3.5</v>
      </c>
      <c r="AB43" s="949">
        <v>3.5</v>
      </c>
      <c r="AC43" s="950">
        <v>3.5</v>
      </c>
      <c r="AD43" s="1034">
        <v>4.3</v>
      </c>
      <c r="AE43" s="993"/>
      <c r="AF43" s="1104" t="s">
        <v>352</v>
      </c>
      <c r="AG43" s="1193">
        <v>3.07</v>
      </c>
      <c r="AH43" s="1194">
        <v>2.5099999999999998</v>
      </c>
      <c r="AI43" s="1194">
        <v>2.54</v>
      </c>
      <c r="AJ43" s="1194">
        <v>2.86</v>
      </c>
      <c r="AK43" s="1194">
        <v>2.65</v>
      </c>
      <c r="AL43" s="1194">
        <v>3.35</v>
      </c>
      <c r="AM43" s="1194">
        <v>2.92</v>
      </c>
      <c r="AN43" s="1194">
        <v>2.71</v>
      </c>
      <c r="AO43" s="1194">
        <v>2.3199999999999998</v>
      </c>
      <c r="AP43" s="1194">
        <v>3.05</v>
      </c>
      <c r="AQ43" s="1194">
        <v>2.62</v>
      </c>
      <c r="AR43" s="1195">
        <v>2.86</v>
      </c>
      <c r="AS43" s="1105">
        <v>2.74</v>
      </c>
      <c r="AT43" s="993"/>
      <c r="AU43" s="947" t="s">
        <v>346</v>
      </c>
      <c r="AV43" s="1029" t="s">
        <v>343</v>
      </c>
      <c r="AW43" s="1030" t="s">
        <v>343</v>
      </c>
      <c r="AX43" s="1030" t="s">
        <v>343</v>
      </c>
      <c r="AY43" s="1030" t="s">
        <v>343</v>
      </c>
      <c r="AZ43" s="1030" t="s">
        <v>343</v>
      </c>
      <c r="BA43" s="1030" t="s">
        <v>343</v>
      </c>
      <c r="BB43" s="1030" t="s">
        <v>343</v>
      </c>
      <c r="BC43" s="1030" t="s">
        <v>343</v>
      </c>
      <c r="BD43" s="1030" t="s">
        <v>343</v>
      </c>
      <c r="BE43" s="1030" t="s">
        <v>343</v>
      </c>
      <c r="BF43" s="1030" t="s">
        <v>343</v>
      </c>
      <c r="BG43" s="1087" t="s">
        <v>343</v>
      </c>
      <c r="BH43" s="1034" t="s">
        <v>343</v>
      </c>
      <c r="BI43" s="993"/>
    </row>
    <row r="44" spans="2:61" ht="12.75" customHeight="1" thickBot="1" x14ac:dyDescent="0.25">
      <c r="B44" s="947" t="s">
        <v>347</v>
      </c>
      <c r="C44" s="955" t="s">
        <v>343</v>
      </c>
      <c r="D44" s="956" t="s">
        <v>343</v>
      </c>
      <c r="E44" s="956" t="s">
        <v>343</v>
      </c>
      <c r="F44" s="956" t="s">
        <v>343</v>
      </c>
      <c r="G44" s="956" t="s">
        <v>343</v>
      </c>
      <c r="H44" s="956" t="s">
        <v>343</v>
      </c>
      <c r="I44" s="956" t="s">
        <v>343</v>
      </c>
      <c r="J44" s="956" t="s">
        <v>343</v>
      </c>
      <c r="K44" s="956" t="s">
        <v>343</v>
      </c>
      <c r="L44" s="956" t="s">
        <v>343</v>
      </c>
      <c r="M44" s="956" t="s">
        <v>343</v>
      </c>
      <c r="N44" s="1088" t="s">
        <v>343</v>
      </c>
      <c r="O44" s="1042" t="s">
        <v>343</v>
      </c>
      <c r="P44" s="1182"/>
      <c r="Q44" s="1023" t="s">
        <v>347</v>
      </c>
      <c r="R44" s="1106">
        <v>5.54</v>
      </c>
      <c r="S44" s="957">
        <v>5.48</v>
      </c>
      <c r="T44" s="957" t="s">
        <v>350</v>
      </c>
      <c r="U44" s="957" t="s">
        <v>350</v>
      </c>
      <c r="V44" s="957" t="s">
        <v>350</v>
      </c>
      <c r="W44" s="957">
        <v>5.31</v>
      </c>
      <c r="X44" s="957">
        <v>4.42</v>
      </c>
      <c r="Y44" s="957" t="s">
        <v>350</v>
      </c>
      <c r="Z44" s="957" t="s">
        <v>350</v>
      </c>
      <c r="AA44" s="957" t="s">
        <v>350</v>
      </c>
      <c r="AB44" s="957" t="s">
        <v>350</v>
      </c>
      <c r="AC44" s="958" t="s">
        <v>343</v>
      </c>
      <c r="AD44" s="1042">
        <v>5.17</v>
      </c>
      <c r="AE44" s="1181"/>
      <c r="AF44" s="993"/>
      <c r="AG44" s="993"/>
      <c r="AH44" s="993"/>
      <c r="AI44" s="993"/>
      <c r="AJ44" s="993"/>
      <c r="AK44" s="993"/>
      <c r="AL44" s="993"/>
      <c r="AM44" s="993"/>
      <c r="AN44" s="993"/>
      <c r="AO44" s="993"/>
      <c r="AP44" s="993"/>
      <c r="AQ44" s="993"/>
      <c r="AR44" s="993"/>
      <c r="AS44" s="993"/>
      <c r="AT44" s="993"/>
      <c r="AU44" s="947" t="s">
        <v>347</v>
      </c>
      <c r="AV44" s="955" t="s">
        <v>343</v>
      </c>
      <c r="AW44" s="956" t="s">
        <v>343</v>
      </c>
      <c r="AX44" s="956" t="s">
        <v>343</v>
      </c>
      <c r="AY44" s="956" t="s">
        <v>343</v>
      </c>
      <c r="AZ44" s="956" t="s">
        <v>343</v>
      </c>
      <c r="BA44" s="956" t="s">
        <v>343</v>
      </c>
      <c r="BB44" s="956" t="s">
        <v>343</v>
      </c>
      <c r="BC44" s="956" t="s">
        <v>343</v>
      </c>
      <c r="BD44" s="956" t="s">
        <v>343</v>
      </c>
      <c r="BE44" s="956" t="s">
        <v>343</v>
      </c>
      <c r="BF44" s="956" t="s">
        <v>343</v>
      </c>
      <c r="BG44" s="1088" t="s">
        <v>343</v>
      </c>
      <c r="BH44" s="1042" t="s">
        <v>343</v>
      </c>
      <c r="BI44" s="993"/>
    </row>
    <row r="45" spans="2:61" ht="13.5" thickBot="1" x14ac:dyDescent="0.25">
      <c r="B45" s="1028" t="s">
        <v>348</v>
      </c>
      <c r="C45" s="1119">
        <v>0.14000000000000001</v>
      </c>
      <c r="D45" s="1050">
        <v>0.14000000000000001</v>
      </c>
      <c r="E45" s="1050" t="s">
        <v>343</v>
      </c>
      <c r="F45" s="1050">
        <v>0.18</v>
      </c>
      <c r="G45" s="1050">
        <v>0.18</v>
      </c>
      <c r="H45" s="1050">
        <v>0.18</v>
      </c>
      <c r="I45" s="1189" t="s">
        <v>343</v>
      </c>
      <c r="J45" s="1050" t="s">
        <v>343</v>
      </c>
      <c r="K45" s="1050">
        <v>0.19</v>
      </c>
      <c r="L45" s="1050">
        <v>0.18</v>
      </c>
      <c r="M45" s="1050">
        <v>0.18</v>
      </c>
      <c r="N45" s="1051">
        <v>0.19</v>
      </c>
      <c r="O45" s="1052">
        <v>0.18</v>
      </c>
      <c r="P45" s="1182"/>
      <c r="Q45" s="1011" t="s">
        <v>348</v>
      </c>
      <c r="R45" s="1107">
        <v>5.55</v>
      </c>
      <c r="S45" s="1076">
        <v>5.55</v>
      </c>
      <c r="T45" s="1076">
        <v>5.69</v>
      </c>
      <c r="U45" s="1076">
        <v>6.53</v>
      </c>
      <c r="V45" s="1076">
        <v>5.94</v>
      </c>
      <c r="W45" s="1076">
        <v>5.88</v>
      </c>
      <c r="X45" s="1076">
        <v>5.67</v>
      </c>
      <c r="Y45" s="1076">
        <v>5.37</v>
      </c>
      <c r="Z45" s="1076">
        <v>4.84</v>
      </c>
      <c r="AA45" s="1076">
        <v>4.4800000000000004</v>
      </c>
      <c r="AB45" s="1076">
        <v>4.66</v>
      </c>
      <c r="AC45" s="1077">
        <v>4.32</v>
      </c>
      <c r="AD45" s="1052">
        <v>5.12</v>
      </c>
      <c r="AE45" s="1191"/>
      <c r="AF45" s="993"/>
      <c r="AG45" s="993"/>
      <c r="AH45" s="993"/>
      <c r="AI45" s="993"/>
      <c r="AJ45" s="993"/>
      <c r="AK45" s="993"/>
      <c r="AL45" s="993"/>
      <c r="AM45" s="993"/>
      <c r="AN45" s="993"/>
      <c r="AO45" s="993"/>
      <c r="AP45" s="993"/>
      <c r="AQ45" s="993"/>
      <c r="AR45" s="993"/>
      <c r="AS45" s="993"/>
      <c r="AT45" s="993"/>
      <c r="AU45" s="1028" t="s">
        <v>348</v>
      </c>
      <c r="AV45" s="1075">
        <v>0.17</v>
      </c>
      <c r="AW45" s="1076">
        <v>0.34</v>
      </c>
      <c r="AX45" s="1076">
        <v>0.28999999999999998</v>
      </c>
      <c r="AY45" s="1076" t="s">
        <v>350</v>
      </c>
      <c r="AZ45" s="1076">
        <v>0.1</v>
      </c>
      <c r="BA45" s="1076">
        <v>0.05</v>
      </c>
      <c r="BB45" s="1076">
        <v>0.1</v>
      </c>
      <c r="BC45" s="1076">
        <v>0.19</v>
      </c>
      <c r="BD45" s="1076">
        <v>0.13</v>
      </c>
      <c r="BE45" s="1076">
        <v>0.09</v>
      </c>
      <c r="BF45" s="1076">
        <v>0.14000000000000001</v>
      </c>
      <c r="BG45" s="1077">
        <v>0.24</v>
      </c>
      <c r="BH45" s="1052">
        <v>0.12</v>
      </c>
      <c r="BI45" s="993"/>
    </row>
    <row r="46" spans="2:61" ht="12.75" customHeight="1" thickBot="1" x14ac:dyDescent="0.25">
      <c r="B46" s="997" t="s">
        <v>339</v>
      </c>
      <c r="C46" s="1109"/>
      <c r="D46" s="1109"/>
      <c r="E46" s="1109"/>
      <c r="F46" s="1109"/>
      <c r="G46" s="1109"/>
      <c r="H46" s="1109"/>
      <c r="I46" s="1109"/>
      <c r="J46" s="1109"/>
      <c r="K46" s="1109"/>
      <c r="L46" s="1109"/>
      <c r="M46" s="1109"/>
      <c r="N46" s="1109"/>
      <c r="O46" s="1069"/>
      <c r="P46" s="1182"/>
      <c r="Q46" s="997" t="s">
        <v>358</v>
      </c>
      <c r="R46" s="1090"/>
      <c r="S46" s="1090"/>
      <c r="T46" s="1090"/>
      <c r="U46" s="1090"/>
      <c r="V46" s="1090"/>
      <c r="W46" s="1090"/>
      <c r="X46" s="1090"/>
      <c r="Y46" s="1090"/>
      <c r="Z46" s="1090"/>
      <c r="AA46" s="1090"/>
      <c r="AB46" s="1090"/>
      <c r="AC46" s="1090"/>
      <c r="AD46" s="999"/>
      <c r="AE46" s="1191"/>
      <c r="AF46" s="993"/>
      <c r="AG46" s="993"/>
      <c r="AH46" s="993"/>
      <c r="AI46" s="993"/>
      <c r="AJ46" s="993"/>
      <c r="AK46" s="993"/>
      <c r="AL46" s="993"/>
      <c r="AM46" s="993"/>
      <c r="AN46" s="993"/>
      <c r="AO46" s="993"/>
      <c r="AP46" s="993"/>
      <c r="AQ46" s="993"/>
      <c r="AR46" s="993"/>
      <c r="AS46" s="993"/>
      <c r="AT46" s="993"/>
      <c r="AU46" s="993"/>
      <c r="AV46" s="993"/>
      <c r="AW46" s="993"/>
      <c r="AX46" s="993"/>
      <c r="AY46" s="993"/>
      <c r="AZ46" s="993"/>
      <c r="BA46" s="993"/>
      <c r="BB46" s="993"/>
      <c r="BC46" s="993"/>
      <c r="BD46" s="993"/>
      <c r="BE46" s="993"/>
      <c r="BF46" s="993"/>
      <c r="BG46" s="993"/>
      <c r="BH46" s="993"/>
      <c r="BI46" s="993"/>
    </row>
    <row r="47" spans="2:61" ht="13.5" thickBot="1" x14ac:dyDescent="0.25">
      <c r="B47" s="1011" t="s">
        <v>340</v>
      </c>
      <c r="C47" s="1012">
        <v>1</v>
      </c>
      <c r="D47" s="1013">
        <v>2</v>
      </c>
      <c r="E47" s="1013">
        <v>3</v>
      </c>
      <c r="F47" s="1013">
        <v>4</v>
      </c>
      <c r="G47" s="1013">
        <v>5</v>
      </c>
      <c r="H47" s="1013">
        <v>6</v>
      </c>
      <c r="I47" s="1013">
        <v>7</v>
      </c>
      <c r="J47" s="1013">
        <v>8</v>
      </c>
      <c r="K47" s="1013">
        <v>9</v>
      </c>
      <c r="L47" s="1013">
        <v>10</v>
      </c>
      <c r="M47" s="1013">
        <v>11</v>
      </c>
      <c r="N47" s="1014">
        <v>12</v>
      </c>
      <c r="O47" s="1015" t="s">
        <v>341</v>
      </c>
      <c r="P47" s="1182"/>
      <c r="Q47" s="1011" t="s">
        <v>340</v>
      </c>
      <c r="R47" s="1110">
        <v>1</v>
      </c>
      <c r="S47" s="1013">
        <v>2</v>
      </c>
      <c r="T47" s="1013">
        <v>3</v>
      </c>
      <c r="U47" s="1013">
        <v>4</v>
      </c>
      <c r="V47" s="1013">
        <v>5</v>
      </c>
      <c r="W47" s="1013">
        <v>6</v>
      </c>
      <c r="X47" s="1013">
        <v>7</v>
      </c>
      <c r="Y47" s="1013">
        <v>8</v>
      </c>
      <c r="Z47" s="1013">
        <v>9</v>
      </c>
      <c r="AA47" s="1013">
        <v>10</v>
      </c>
      <c r="AB47" s="1013">
        <v>11</v>
      </c>
      <c r="AC47" s="1013">
        <v>12</v>
      </c>
      <c r="AD47" s="1111" t="s">
        <v>341</v>
      </c>
      <c r="AE47" s="1191"/>
      <c r="AF47" s="993"/>
      <c r="AG47" s="993"/>
      <c r="AH47" s="993"/>
      <c r="AI47" s="993"/>
      <c r="AJ47" s="993"/>
      <c r="AK47" s="993"/>
      <c r="AL47" s="993"/>
      <c r="AM47" s="993"/>
      <c r="AN47" s="993"/>
      <c r="AO47" s="993"/>
      <c r="AP47" s="993"/>
      <c r="AQ47" s="993"/>
      <c r="AR47" s="993"/>
      <c r="AS47" s="993"/>
      <c r="AT47" s="993"/>
      <c r="AU47" s="993"/>
      <c r="AV47" s="993"/>
      <c r="AW47" s="993"/>
      <c r="AX47" s="993"/>
      <c r="AY47" s="993"/>
      <c r="AZ47" s="993"/>
      <c r="BA47" s="993"/>
      <c r="BB47" s="993"/>
      <c r="BC47" s="993"/>
      <c r="BD47" s="993"/>
      <c r="BE47" s="993"/>
      <c r="BF47" s="993"/>
      <c r="BG47" s="993"/>
      <c r="BH47" s="993"/>
      <c r="BI47" s="993"/>
    </row>
    <row r="48" spans="2:61" x14ac:dyDescent="0.2">
      <c r="B48" s="1023" t="s">
        <v>342</v>
      </c>
      <c r="C48" s="1102" t="s">
        <v>343</v>
      </c>
      <c r="D48" s="1084" t="s">
        <v>343</v>
      </c>
      <c r="E48" s="1084" t="s">
        <v>343</v>
      </c>
      <c r="F48" s="1084" t="s">
        <v>343</v>
      </c>
      <c r="G48" s="1084">
        <v>0.18</v>
      </c>
      <c r="H48" s="1084">
        <v>0.18</v>
      </c>
      <c r="I48" s="1084">
        <v>0.18</v>
      </c>
      <c r="J48" s="1084">
        <v>0.18</v>
      </c>
      <c r="K48" s="1084">
        <v>0.18</v>
      </c>
      <c r="L48" s="1084">
        <v>0.18</v>
      </c>
      <c r="M48" s="1084" t="s">
        <v>343</v>
      </c>
      <c r="N48" s="1101" t="s">
        <v>343</v>
      </c>
      <c r="O48" s="1112">
        <v>0.18</v>
      </c>
      <c r="P48" s="993"/>
      <c r="Q48" s="1023" t="s">
        <v>342</v>
      </c>
      <c r="R48" s="1097">
        <v>4.6900000000000004</v>
      </c>
      <c r="S48" s="1098">
        <v>4.68</v>
      </c>
      <c r="T48" s="1098">
        <v>4.6100000000000003</v>
      </c>
      <c r="U48" s="1098">
        <v>4.53</v>
      </c>
      <c r="V48" s="1099">
        <v>5.64</v>
      </c>
      <c r="W48" s="1099">
        <v>5.32</v>
      </c>
      <c r="X48" s="1099">
        <v>4.9000000000000004</v>
      </c>
      <c r="Y48" s="1099">
        <v>4.7699999999999996</v>
      </c>
      <c r="Z48" s="1099">
        <v>4.41</v>
      </c>
      <c r="AA48" s="1099">
        <v>3.59</v>
      </c>
      <c r="AB48" s="1099">
        <v>3.71</v>
      </c>
      <c r="AC48" s="1098">
        <v>4.49</v>
      </c>
      <c r="AD48" s="1113">
        <v>4.8499999999999996</v>
      </c>
      <c r="AE48" s="1191"/>
      <c r="AF48" s="993"/>
      <c r="AG48" s="993"/>
      <c r="AH48" s="993"/>
      <c r="AI48" s="993"/>
      <c r="AJ48" s="993"/>
      <c r="AK48" s="993"/>
      <c r="AL48" s="993"/>
      <c r="AM48" s="993"/>
      <c r="AN48" s="993"/>
      <c r="AO48" s="993"/>
      <c r="AP48" s="993"/>
      <c r="AQ48" s="993"/>
      <c r="AR48" s="993"/>
      <c r="AS48" s="993"/>
      <c r="AT48" s="993"/>
      <c r="AU48" s="993"/>
      <c r="AV48" s="993"/>
      <c r="AW48" s="993"/>
      <c r="AX48" s="993"/>
      <c r="AY48" s="993"/>
      <c r="AZ48" s="993"/>
      <c r="BA48" s="993"/>
      <c r="BB48" s="993"/>
      <c r="BC48" s="993"/>
      <c r="BD48" s="993"/>
      <c r="BE48" s="993"/>
      <c r="BF48" s="993"/>
      <c r="BG48" s="993"/>
      <c r="BH48" s="993"/>
      <c r="BI48" s="993"/>
    </row>
    <row r="49" spans="2:61" ht="12.75" customHeight="1" x14ac:dyDescent="0.2">
      <c r="B49" s="1023" t="s">
        <v>344</v>
      </c>
      <c r="C49" s="952">
        <v>0.12</v>
      </c>
      <c r="D49" s="953">
        <v>0.14000000000000001</v>
      </c>
      <c r="E49" s="953" t="s">
        <v>343</v>
      </c>
      <c r="F49" s="953">
        <v>0.16</v>
      </c>
      <c r="G49" s="953">
        <v>0.17</v>
      </c>
      <c r="H49" s="953">
        <v>0.17</v>
      </c>
      <c r="I49" s="953">
        <v>0.17</v>
      </c>
      <c r="J49" s="953">
        <v>0.17</v>
      </c>
      <c r="K49" s="953">
        <v>0.17</v>
      </c>
      <c r="L49" s="953">
        <v>0.16</v>
      </c>
      <c r="M49" s="953">
        <v>0.16</v>
      </c>
      <c r="N49" s="954">
        <v>0.16</v>
      </c>
      <c r="O49" s="951">
        <v>0.16</v>
      </c>
      <c r="P49" s="993"/>
      <c r="Q49" s="1023" t="s">
        <v>344</v>
      </c>
      <c r="R49" s="1103">
        <v>4.78</v>
      </c>
      <c r="S49" s="949">
        <v>4.95</v>
      </c>
      <c r="T49" s="949">
        <v>5.01</v>
      </c>
      <c r="U49" s="949">
        <v>4.97</v>
      </c>
      <c r="V49" s="949">
        <v>4.91</v>
      </c>
      <c r="W49" s="949">
        <v>4.8</v>
      </c>
      <c r="X49" s="949">
        <v>4.79</v>
      </c>
      <c r="Y49" s="949">
        <v>4.84</v>
      </c>
      <c r="Z49" s="949">
        <v>4.2</v>
      </c>
      <c r="AA49" s="949">
        <v>3.7</v>
      </c>
      <c r="AB49" s="949">
        <v>4.0199999999999996</v>
      </c>
      <c r="AC49" s="949">
        <v>3.94</v>
      </c>
      <c r="AD49" s="1114">
        <v>4.4000000000000004</v>
      </c>
      <c r="AE49" s="1191"/>
      <c r="AF49" s="993"/>
      <c r="AG49" s="993"/>
      <c r="AH49" s="993"/>
      <c r="AI49" s="993"/>
      <c r="AJ49" s="993"/>
      <c r="AK49" s="993"/>
      <c r="AL49" s="993"/>
      <c r="AM49" s="993"/>
      <c r="AN49" s="993"/>
      <c r="AO49" s="993"/>
      <c r="AP49" s="993"/>
      <c r="AQ49" s="993"/>
      <c r="AR49" s="993"/>
      <c r="AS49" s="993"/>
      <c r="AT49" s="993"/>
      <c r="AU49" s="993"/>
      <c r="AV49" s="993"/>
      <c r="AW49" s="993"/>
      <c r="AX49" s="993"/>
      <c r="AY49" s="993"/>
      <c r="AZ49" s="993"/>
      <c r="BA49" s="993"/>
      <c r="BB49" s="993"/>
      <c r="BC49" s="993"/>
      <c r="BD49" s="993"/>
      <c r="BE49" s="993"/>
      <c r="BF49" s="993"/>
      <c r="BG49" s="993"/>
      <c r="BH49" s="993"/>
      <c r="BI49" s="993"/>
    </row>
    <row r="50" spans="2:61" x14ac:dyDescent="0.2">
      <c r="B50" s="1023" t="s">
        <v>345</v>
      </c>
      <c r="C50" s="1115">
        <v>0.14000000000000001</v>
      </c>
      <c r="D50" s="1116">
        <v>0.15</v>
      </c>
      <c r="E50" s="1116">
        <v>0.15</v>
      </c>
      <c r="F50" s="1116">
        <v>0.15</v>
      </c>
      <c r="G50" s="1116">
        <v>0.17</v>
      </c>
      <c r="H50" s="1116">
        <v>0.17</v>
      </c>
      <c r="I50" s="1116">
        <v>0.17</v>
      </c>
      <c r="J50" s="953" t="s">
        <v>343</v>
      </c>
      <c r="K50" s="1116">
        <v>0.17</v>
      </c>
      <c r="L50" s="1116">
        <v>0.17</v>
      </c>
      <c r="M50" s="1116">
        <v>0.17</v>
      </c>
      <c r="N50" s="1117">
        <v>0.17</v>
      </c>
      <c r="O50" s="951">
        <v>0.16</v>
      </c>
      <c r="P50" s="1181"/>
      <c r="Q50" s="1023" t="s">
        <v>345</v>
      </c>
      <c r="R50" s="1103" t="s">
        <v>343</v>
      </c>
      <c r="S50" s="949" t="s">
        <v>343</v>
      </c>
      <c r="T50" s="949" t="s">
        <v>343</v>
      </c>
      <c r="U50" s="949" t="s">
        <v>343</v>
      </c>
      <c r="V50" s="949">
        <v>3.3</v>
      </c>
      <c r="W50" s="949" t="s">
        <v>350</v>
      </c>
      <c r="X50" s="1066" t="s">
        <v>343</v>
      </c>
      <c r="Y50" s="949" t="s">
        <v>350</v>
      </c>
      <c r="Z50" s="949" t="s">
        <v>350</v>
      </c>
      <c r="AA50" s="949">
        <v>3.1</v>
      </c>
      <c r="AB50" s="949">
        <v>3.07</v>
      </c>
      <c r="AC50" s="949" t="s">
        <v>350</v>
      </c>
      <c r="AD50" s="1114">
        <v>3.22</v>
      </c>
      <c r="AE50" s="1191"/>
      <c r="AF50" s="993"/>
      <c r="AG50" s="993"/>
      <c r="AH50" s="993"/>
      <c r="AI50" s="993"/>
      <c r="AJ50" s="993"/>
      <c r="AK50" s="993"/>
      <c r="AL50" s="993"/>
      <c r="AM50" s="993"/>
      <c r="AN50" s="993"/>
      <c r="AO50" s="993"/>
      <c r="AP50" s="993"/>
      <c r="AQ50" s="993"/>
      <c r="AR50" s="993"/>
      <c r="AS50" s="993"/>
      <c r="AT50" s="993"/>
      <c r="AU50" s="993"/>
      <c r="AV50" s="993"/>
      <c r="AW50" s="993"/>
      <c r="AX50" s="993"/>
      <c r="AY50" s="993"/>
      <c r="AZ50" s="993"/>
      <c r="BA50" s="993"/>
      <c r="BB50" s="993"/>
      <c r="BC50" s="993"/>
      <c r="BD50" s="993"/>
      <c r="BE50" s="993"/>
      <c r="BF50" s="993"/>
      <c r="BG50" s="993"/>
      <c r="BH50" s="993"/>
      <c r="BI50" s="993"/>
    </row>
    <row r="51" spans="2:61" x14ac:dyDescent="0.2">
      <c r="B51" s="1023" t="s">
        <v>346</v>
      </c>
      <c r="C51" s="952" t="s">
        <v>343</v>
      </c>
      <c r="D51" s="953" t="s">
        <v>343</v>
      </c>
      <c r="E51" s="953" t="s">
        <v>343</v>
      </c>
      <c r="F51" s="953" t="s">
        <v>343</v>
      </c>
      <c r="G51" s="953" t="s">
        <v>343</v>
      </c>
      <c r="H51" s="953" t="s">
        <v>343</v>
      </c>
      <c r="I51" s="953" t="s">
        <v>343</v>
      </c>
      <c r="J51" s="953" t="s">
        <v>343</v>
      </c>
      <c r="K51" s="953" t="s">
        <v>343</v>
      </c>
      <c r="L51" s="953" t="s">
        <v>343</v>
      </c>
      <c r="M51" s="953" t="s">
        <v>343</v>
      </c>
      <c r="N51" s="954" t="s">
        <v>343</v>
      </c>
      <c r="O51" s="951" t="s">
        <v>343</v>
      </c>
      <c r="P51" s="1185"/>
      <c r="Q51" s="1023" t="s">
        <v>346</v>
      </c>
      <c r="R51" s="1118" t="s">
        <v>343</v>
      </c>
      <c r="S51" s="1030" t="s">
        <v>343</v>
      </c>
      <c r="T51" s="1030" t="s">
        <v>343</v>
      </c>
      <c r="U51" s="949" t="s">
        <v>350</v>
      </c>
      <c r="V51" s="949" t="s">
        <v>350</v>
      </c>
      <c r="W51" s="949" t="s">
        <v>350</v>
      </c>
      <c r="X51" s="949" t="s">
        <v>350</v>
      </c>
      <c r="Y51" s="949">
        <v>2.5</v>
      </c>
      <c r="Z51" s="949">
        <v>2.5</v>
      </c>
      <c r="AA51" s="949" t="s">
        <v>350</v>
      </c>
      <c r="AB51" s="1066" t="s">
        <v>350</v>
      </c>
      <c r="AC51" s="949" t="s">
        <v>350</v>
      </c>
      <c r="AD51" s="1114">
        <v>2.5</v>
      </c>
      <c r="AE51" s="993"/>
      <c r="AF51" s="993"/>
      <c r="AG51" s="993"/>
      <c r="AH51" s="993"/>
      <c r="AI51" s="993"/>
      <c r="AJ51" s="993"/>
      <c r="AK51" s="993"/>
      <c r="AL51" s="993"/>
      <c r="AM51" s="993"/>
      <c r="AN51" s="993"/>
      <c r="AO51" s="993"/>
      <c r="AP51" s="993"/>
      <c r="AQ51" s="993"/>
      <c r="AR51" s="993"/>
      <c r="AS51" s="993"/>
      <c r="AT51" s="993"/>
      <c r="AU51" s="993"/>
      <c r="AV51" s="993"/>
      <c r="AW51" s="993"/>
      <c r="AX51" s="993"/>
      <c r="AY51" s="993"/>
      <c r="AZ51" s="993"/>
      <c r="BA51" s="993"/>
      <c r="BB51" s="993"/>
      <c r="BC51" s="993"/>
      <c r="BD51" s="993"/>
      <c r="BE51" s="993"/>
      <c r="BF51" s="993"/>
      <c r="BG51" s="993"/>
      <c r="BH51" s="993"/>
      <c r="BI51" s="993"/>
    </row>
    <row r="52" spans="2:61" ht="12.75" customHeight="1" thickBot="1" x14ac:dyDescent="0.25">
      <c r="B52" s="1023" t="s">
        <v>347</v>
      </c>
      <c r="C52" s="1040" t="s">
        <v>343</v>
      </c>
      <c r="D52" s="957">
        <v>0.14000000000000001</v>
      </c>
      <c r="E52" s="957" t="s">
        <v>343</v>
      </c>
      <c r="F52" s="957">
        <v>0.14000000000000001</v>
      </c>
      <c r="G52" s="957" t="s">
        <v>343</v>
      </c>
      <c r="H52" s="957" t="s">
        <v>343</v>
      </c>
      <c r="I52" s="957" t="s">
        <v>343</v>
      </c>
      <c r="J52" s="957" t="s">
        <v>343</v>
      </c>
      <c r="K52" s="957">
        <v>0.17</v>
      </c>
      <c r="L52" s="957">
        <v>0.17</v>
      </c>
      <c r="M52" s="957">
        <v>0.17</v>
      </c>
      <c r="N52" s="958" t="s">
        <v>343</v>
      </c>
      <c r="O52" s="959">
        <v>0.16</v>
      </c>
      <c r="P52" s="1182"/>
      <c r="Q52" s="1023" t="s">
        <v>347</v>
      </c>
      <c r="R52" s="1118" t="s">
        <v>343</v>
      </c>
      <c r="S52" s="1030" t="s">
        <v>343</v>
      </c>
      <c r="T52" s="1030" t="s">
        <v>343</v>
      </c>
      <c r="U52" s="1030" t="s">
        <v>343</v>
      </c>
      <c r="V52" s="1030" t="s">
        <v>343</v>
      </c>
      <c r="W52" s="1030" t="s">
        <v>343</v>
      </c>
      <c r="X52" s="1030" t="s">
        <v>343</v>
      </c>
      <c r="Y52" s="1030" t="s">
        <v>343</v>
      </c>
      <c r="Z52" s="1030" t="s">
        <v>343</v>
      </c>
      <c r="AA52" s="1030" t="s">
        <v>343</v>
      </c>
      <c r="AB52" s="1030" t="s">
        <v>343</v>
      </c>
      <c r="AC52" s="1030" t="s">
        <v>343</v>
      </c>
      <c r="AD52" s="1114" t="s">
        <v>343</v>
      </c>
      <c r="AE52" s="1181"/>
      <c r="AF52" s="993"/>
      <c r="AG52" s="993"/>
      <c r="AH52" s="993"/>
      <c r="AI52" s="993"/>
      <c r="AJ52" s="993"/>
      <c r="AK52" s="993"/>
      <c r="AL52" s="993"/>
      <c r="AM52" s="993"/>
      <c r="AN52" s="993"/>
      <c r="AO52" s="993"/>
      <c r="AP52" s="993"/>
      <c r="AQ52" s="993"/>
      <c r="AR52" s="993"/>
      <c r="AS52" s="993"/>
      <c r="AT52" s="993"/>
      <c r="AU52" s="993"/>
      <c r="AV52" s="993"/>
      <c r="AW52" s="993"/>
      <c r="AX52" s="993"/>
      <c r="AY52" s="993"/>
      <c r="AZ52" s="993"/>
      <c r="BA52" s="993"/>
      <c r="BB52" s="993"/>
      <c r="BC52" s="993"/>
      <c r="BD52" s="993"/>
      <c r="BE52" s="993"/>
      <c r="BF52" s="993"/>
      <c r="BG52" s="993"/>
      <c r="BH52" s="993"/>
      <c r="BI52" s="993"/>
    </row>
    <row r="53" spans="2:61" ht="14.25" customHeight="1" thickBot="1" x14ac:dyDescent="0.25">
      <c r="B53" s="1011" t="s">
        <v>348</v>
      </c>
      <c r="C53" s="1119">
        <v>0.13</v>
      </c>
      <c r="D53" s="1050">
        <v>0.14000000000000001</v>
      </c>
      <c r="E53" s="1050">
        <v>0.15</v>
      </c>
      <c r="F53" s="1050">
        <v>0.15</v>
      </c>
      <c r="G53" s="1050">
        <v>0.17</v>
      </c>
      <c r="H53" s="1050">
        <v>0.17</v>
      </c>
      <c r="I53" s="1050">
        <v>0.17</v>
      </c>
      <c r="J53" s="1050">
        <v>0.17</v>
      </c>
      <c r="K53" s="1050">
        <v>0.17</v>
      </c>
      <c r="L53" s="1050">
        <v>0.17</v>
      </c>
      <c r="M53" s="1050">
        <v>0.17</v>
      </c>
      <c r="N53" s="1051">
        <v>0.17</v>
      </c>
      <c r="O53" s="1120">
        <v>0.16</v>
      </c>
      <c r="P53" s="1182"/>
      <c r="Q53" s="1011" t="s">
        <v>348</v>
      </c>
      <c r="R53" s="1121">
        <v>4.7699999999999996</v>
      </c>
      <c r="S53" s="1122">
        <v>4.9000000000000004</v>
      </c>
      <c r="T53" s="1122">
        <v>4.95</v>
      </c>
      <c r="U53" s="1122">
        <v>4.9400000000000004</v>
      </c>
      <c r="V53" s="1122">
        <v>4.93</v>
      </c>
      <c r="W53" s="1122">
        <v>4.95</v>
      </c>
      <c r="X53" s="1122">
        <v>4.8</v>
      </c>
      <c r="Y53" s="1122">
        <v>4.78</v>
      </c>
      <c r="Z53" s="1122">
        <v>4.22</v>
      </c>
      <c r="AA53" s="1122">
        <v>3.68</v>
      </c>
      <c r="AB53" s="1122">
        <v>3.99</v>
      </c>
      <c r="AC53" s="1122">
        <v>4.03</v>
      </c>
      <c r="AD53" s="1123">
        <v>4.4400000000000004</v>
      </c>
      <c r="AE53" s="1191"/>
      <c r="AF53" s="993"/>
      <c r="AG53" s="993"/>
      <c r="AH53" s="993"/>
      <c r="AI53" s="993"/>
      <c r="AJ53" s="993"/>
      <c r="AK53" s="993"/>
      <c r="AL53" s="993"/>
      <c r="AM53" s="993"/>
      <c r="AN53" s="993"/>
      <c r="AO53" s="993"/>
      <c r="AP53" s="993"/>
      <c r="AQ53" s="993"/>
      <c r="AR53" s="993"/>
      <c r="AS53" s="993"/>
      <c r="AT53" s="993"/>
      <c r="AU53" s="993"/>
      <c r="AV53" s="993"/>
      <c r="AW53" s="993"/>
      <c r="AX53" s="993"/>
      <c r="AY53" s="993"/>
      <c r="AZ53" s="993"/>
      <c r="BA53" s="993"/>
      <c r="BB53" s="993"/>
      <c r="BC53" s="993"/>
      <c r="BD53" s="993"/>
      <c r="BE53" s="993"/>
      <c r="BF53" s="993"/>
      <c r="BG53" s="993"/>
      <c r="BH53" s="993"/>
      <c r="BI53" s="993"/>
    </row>
    <row r="54" spans="2:61" ht="15" thickBot="1" x14ac:dyDescent="0.25">
      <c r="B54" s="1192"/>
      <c r="C54" s="1192"/>
      <c r="D54" s="1192"/>
      <c r="E54" s="1192"/>
      <c r="F54" s="1192"/>
      <c r="G54" s="1192"/>
      <c r="H54" s="1192"/>
      <c r="I54" s="1192"/>
      <c r="J54" s="1192"/>
      <c r="K54" s="1192"/>
      <c r="L54" s="1192"/>
      <c r="M54" s="1192"/>
      <c r="N54" s="1192"/>
      <c r="O54" s="1192"/>
      <c r="P54" s="1182"/>
      <c r="Q54" s="997" t="s">
        <v>639</v>
      </c>
      <c r="R54" s="1090"/>
      <c r="S54" s="1090"/>
      <c r="T54" s="1090"/>
      <c r="U54" s="1090"/>
      <c r="V54" s="1090"/>
      <c r="W54" s="1090"/>
      <c r="X54" s="1090"/>
      <c r="Y54" s="1090"/>
      <c r="Z54" s="1090"/>
      <c r="AA54" s="1090"/>
      <c r="AB54" s="1090"/>
      <c r="AC54" s="1090"/>
      <c r="AD54" s="999"/>
      <c r="AE54" s="1191"/>
      <c r="AF54" s="993"/>
      <c r="AG54" s="993"/>
      <c r="AH54" s="993"/>
      <c r="AI54" s="993"/>
      <c r="AJ54" s="993"/>
      <c r="AK54" s="993"/>
      <c r="AL54" s="993"/>
      <c r="AM54" s="993"/>
      <c r="AN54" s="993"/>
      <c r="AO54" s="993"/>
      <c r="AP54" s="993"/>
      <c r="AQ54" s="993"/>
      <c r="AR54" s="993"/>
      <c r="AS54" s="993"/>
      <c r="AT54" s="993"/>
      <c r="AU54" s="993"/>
      <c r="AV54" s="993"/>
      <c r="AW54" s="993"/>
      <c r="AX54" s="993"/>
      <c r="AY54" s="993"/>
      <c r="AZ54" s="993"/>
      <c r="BA54" s="993"/>
      <c r="BB54" s="993"/>
      <c r="BC54" s="993"/>
      <c r="BD54" s="993"/>
      <c r="BE54" s="993"/>
      <c r="BF54" s="993"/>
      <c r="BG54" s="993"/>
      <c r="BH54" s="993"/>
      <c r="BI54" s="993"/>
    </row>
    <row r="55" spans="2:61" ht="13.5" thickBot="1" x14ac:dyDescent="0.25">
      <c r="B55" s="1185"/>
      <c r="C55" s="1185"/>
      <c r="D55" s="1185"/>
      <c r="E55" s="1185"/>
      <c r="F55" s="1185"/>
      <c r="G55" s="1185"/>
      <c r="H55" s="1185"/>
      <c r="I55" s="1185"/>
      <c r="J55" s="1185"/>
      <c r="K55" s="1185"/>
      <c r="L55" s="1185"/>
      <c r="M55" s="1185"/>
      <c r="N55" s="1185"/>
      <c r="O55" s="1185"/>
      <c r="P55" s="1182"/>
      <c r="Q55" s="1011" t="s">
        <v>340</v>
      </c>
      <c r="R55" s="1124">
        <v>1</v>
      </c>
      <c r="S55" s="1125">
        <v>2</v>
      </c>
      <c r="T55" s="1125">
        <v>3</v>
      </c>
      <c r="U55" s="1125">
        <v>4</v>
      </c>
      <c r="V55" s="1125">
        <v>5</v>
      </c>
      <c r="W55" s="1125">
        <v>6</v>
      </c>
      <c r="X55" s="1125">
        <v>7</v>
      </c>
      <c r="Y55" s="1125">
        <v>8</v>
      </c>
      <c r="Z55" s="1125">
        <v>9</v>
      </c>
      <c r="AA55" s="1125">
        <v>10</v>
      </c>
      <c r="AB55" s="1125">
        <v>11</v>
      </c>
      <c r="AC55" s="1125">
        <v>12</v>
      </c>
      <c r="AD55" s="1126" t="s">
        <v>341</v>
      </c>
      <c r="AE55" s="1191"/>
      <c r="AF55" s="993"/>
      <c r="AG55" s="993"/>
      <c r="AH55" s="993"/>
      <c r="AI55" s="993"/>
      <c r="AJ55" s="993"/>
      <c r="AK55" s="993"/>
      <c r="AL55" s="993"/>
      <c r="AM55" s="993"/>
      <c r="AN55" s="993"/>
      <c r="AO55" s="993"/>
      <c r="AP55" s="993"/>
      <c r="AQ55" s="993"/>
      <c r="AR55" s="993"/>
      <c r="AS55" s="993"/>
      <c r="AT55" s="993"/>
      <c r="AU55" s="993"/>
      <c r="AV55" s="993"/>
      <c r="AW55" s="993"/>
      <c r="AX55" s="993"/>
      <c r="AY55" s="993"/>
      <c r="AZ55" s="993"/>
      <c r="BA55" s="993"/>
      <c r="BB55" s="993"/>
      <c r="BC55" s="993"/>
      <c r="BD55" s="993"/>
      <c r="BE55" s="993"/>
      <c r="BF55" s="993"/>
      <c r="BG55" s="993"/>
      <c r="BH55" s="993"/>
      <c r="BI55" s="993"/>
    </row>
    <row r="56" spans="2:61" x14ac:dyDescent="0.2">
      <c r="B56" s="1185"/>
      <c r="C56" s="1185"/>
      <c r="D56" s="1185"/>
      <c r="E56" s="1185"/>
      <c r="F56" s="1185"/>
      <c r="G56" s="1185"/>
      <c r="H56" s="1185"/>
      <c r="I56" s="1185"/>
      <c r="J56" s="1185"/>
      <c r="K56" s="1185"/>
      <c r="L56" s="1185"/>
      <c r="M56" s="1185"/>
      <c r="N56" s="1185"/>
      <c r="O56" s="1185"/>
      <c r="P56" s="1182"/>
      <c r="Q56" s="1023" t="s">
        <v>342</v>
      </c>
      <c r="R56" s="942">
        <v>4.28</v>
      </c>
      <c r="S56" s="943">
        <v>4.62</v>
      </c>
      <c r="T56" s="943">
        <v>3.85</v>
      </c>
      <c r="U56" s="943">
        <v>3.86</v>
      </c>
      <c r="V56" s="943">
        <v>3.81</v>
      </c>
      <c r="W56" s="943">
        <v>3.56</v>
      </c>
      <c r="X56" s="943">
        <v>3.33</v>
      </c>
      <c r="Y56" s="943">
        <v>3.27</v>
      </c>
      <c r="Z56" s="943">
        <v>3.12</v>
      </c>
      <c r="AA56" s="943">
        <v>2.39</v>
      </c>
      <c r="AB56" s="943">
        <v>2.25</v>
      </c>
      <c r="AC56" s="1084">
        <v>2.98</v>
      </c>
      <c r="AD56" s="1127">
        <v>3.12</v>
      </c>
      <c r="AE56" s="1191"/>
      <c r="AF56" s="993"/>
      <c r="AG56" s="993"/>
      <c r="AH56" s="993"/>
      <c r="AI56" s="993"/>
      <c r="AJ56" s="993"/>
      <c r="AK56" s="993"/>
      <c r="AL56" s="993"/>
      <c r="AM56" s="993"/>
      <c r="AN56" s="993"/>
      <c r="AO56" s="993"/>
      <c r="AP56" s="993"/>
      <c r="AQ56" s="993"/>
      <c r="AR56" s="993"/>
      <c r="AS56" s="993"/>
      <c r="AT56" s="993"/>
      <c r="AU56" s="993"/>
      <c r="AV56" s="993"/>
      <c r="AW56" s="993"/>
      <c r="AX56" s="993"/>
      <c r="AY56" s="993"/>
      <c r="AZ56" s="993"/>
      <c r="BA56" s="993"/>
      <c r="BB56" s="993"/>
      <c r="BC56" s="993"/>
      <c r="BD56" s="993"/>
      <c r="BE56" s="993"/>
      <c r="BF56" s="993"/>
      <c r="BG56" s="993"/>
      <c r="BH56" s="993"/>
      <c r="BI56" s="993"/>
    </row>
    <row r="57" spans="2:61" x14ac:dyDescent="0.2">
      <c r="B57" s="1185"/>
      <c r="C57" s="1185"/>
      <c r="D57" s="1185"/>
      <c r="E57" s="1185"/>
      <c r="F57" s="1185"/>
      <c r="G57" s="1185"/>
      <c r="H57" s="1185"/>
      <c r="I57" s="1185"/>
      <c r="J57" s="1185"/>
      <c r="K57" s="1185"/>
      <c r="L57" s="1185"/>
      <c r="M57" s="1185"/>
      <c r="N57" s="1185"/>
      <c r="O57" s="1185"/>
      <c r="P57" s="993"/>
      <c r="Q57" s="1023" t="s">
        <v>344</v>
      </c>
      <c r="R57" s="952">
        <v>3.48</v>
      </c>
      <c r="S57" s="953">
        <v>3.48</v>
      </c>
      <c r="T57" s="953">
        <v>3.37</v>
      </c>
      <c r="U57" s="949">
        <v>3.46</v>
      </c>
      <c r="V57" s="949">
        <v>3.46</v>
      </c>
      <c r="W57" s="949">
        <v>3.37</v>
      </c>
      <c r="X57" s="949">
        <v>3.37</v>
      </c>
      <c r="Y57" s="949">
        <v>3.41</v>
      </c>
      <c r="Z57" s="949">
        <v>3.2</v>
      </c>
      <c r="AA57" s="949">
        <v>2.78</v>
      </c>
      <c r="AB57" s="949">
        <v>2.94</v>
      </c>
      <c r="AC57" s="949">
        <v>3.01</v>
      </c>
      <c r="AD57" s="1128">
        <v>3.23</v>
      </c>
      <c r="AE57" s="1191"/>
      <c r="AF57" s="993"/>
      <c r="AG57" s="993"/>
      <c r="AH57" s="993"/>
      <c r="AI57" s="993"/>
      <c r="AJ57" s="993"/>
      <c r="AK57" s="993"/>
      <c r="AL57" s="993"/>
      <c r="AM57" s="993"/>
      <c r="AN57" s="993"/>
      <c r="AO57" s="993"/>
      <c r="AP57" s="993"/>
      <c r="AQ57" s="993"/>
      <c r="AR57" s="993"/>
      <c r="AS57" s="993"/>
      <c r="AT57" s="993"/>
      <c r="AU57" s="993"/>
      <c r="AV57" s="993"/>
      <c r="AW57" s="993"/>
      <c r="AX57" s="993"/>
      <c r="AY57" s="993"/>
      <c r="AZ57" s="993"/>
      <c r="BA57" s="993"/>
      <c r="BB57" s="993"/>
      <c r="BC57" s="993"/>
      <c r="BD57" s="993"/>
      <c r="BE57" s="993"/>
      <c r="BF57" s="993"/>
      <c r="BG57" s="993"/>
      <c r="BH57" s="993"/>
      <c r="BI57" s="993"/>
    </row>
    <row r="58" spans="2:61" x14ac:dyDescent="0.2">
      <c r="B58" s="1185"/>
      <c r="C58" s="1185"/>
      <c r="D58" s="1185"/>
      <c r="E58" s="1185"/>
      <c r="F58" s="1185"/>
      <c r="G58" s="1185"/>
      <c r="H58" s="1185"/>
      <c r="I58" s="1185"/>
      <c r="J58" s="1185"/>
      <c r="K58" s="1185"/>
      <c r="L58" s="1185"/>
      <c r="M58" s="1185"/>
      <c r="N58" s="1185"/>
      <c r="O58" s="1185"/>
      <c r="P58" s="993"/>
      <c r="Q58" s="1023" t="s">
        <v>345</v>
      </c>
      <c r="R58" s="952" t="s">
        <v>343</v>
      </c>
      <c r="S58" s="953" t="s">
        <v>343</v>
      </c>
      <c r="T58" s="953" t="s">
        <v>343</v>
      </c>
      <c r="U58" s="953">
        <v>4.42</v>
      </c>
      <c r="V58" s="953" t="s">
        <v>343</v>
      </c>
      <c r="W58" s="953">
        <v>4.08</v>
      </c>
      <c r="X58" s="953" t="s">
        <v>343</v>
      </c>
      <c r="Y58" s="953">
        <v>4.42</v>
      </c>
      <c r="Z58" s="953">
        <v>4.38</v>
      </c>
      <c r="AA58" s="953" t="s">
        <v>350</v>
      </c>
      <c r="AB58" s="953" t="s">
        <v>350</v>
      </c>
      <c r="AC58" s="953" t="s">
        <v>350</v>
      </c>
      <c r="AD58" s="1128">
        <v>4.28</v>
      </c>
      <c r="AE58" s="1191"/>
      <c r="AF58" s="993"/>
      <c r="AG58" s="993"/>
      <c r="AH58" s="993"/>
      <c r="AI58" s="993"/>
      <c r="AJ58" s="993"/>
      <c r="AK58" s="993"/>
      <c r="AL58" s="993"/>
      <c r="AM58" s="993"/>
      <c r="AN58" s="993"/>
      <c r="AO58" s="993"/>
      <c r="AP58" s="993"/>
      <c r="AQ58" s="993"/>
      <c r="AR58" s="993"/>
      <c r="AS58" s="993"/>
      <c r="AT58" s="993"/>
      <c r="AU58" s="993"/>
      <c r="AV58" s="993"/>
      <c r="AW58" s="993"/>
      <c r="AX58" s="993"/>
      <c r="AY58" s="993"/>
      <c r="AZ58" s="993"/>
      <c r="BA58" s="993"/>
      <c r="BB58" s="993"/>
      <c r="BC58" s="993"/>
      <c r="BD58" s="993"/>
      <c r="BE58" s="993"/>
      <c r="BF58" s="993"/>
      <c r="BG58" s="993"/>
      <c r="BH58" s="993"/>
      <c r="BI58" s="993"/>
    </row>
    <row r="59" spans="2:61" x14ac:dyDescent="0.2">
      <c r="B59" s="1185"/>
      <c r="C59" s="1185"/>
      <c r="D59" s="1185"/>
      <c r="E59" s="1185"/>
      <c r="F59" s="1185"/>
      <c r="G59" s="1185"/>
      <c r="H59" s="1185"/>
      <c r="I59" s="1185"/>
      <c r="J59" s="1185"/>
      <c r="K59" s="1185"/>
      <c r="L59" s="1185"/>
      <c r="M59" s="1185"/>
      <c r="N59" s="1185"/>
      <c r="O59" s="1185"/>
      <c r="P59" s="993"/>
      <c r="Q59" s="1023" t="s">
        <v>346</v>
      </c>
      <c r="R59" s="1029" t="s">
        <v>343</v>
      </c>
      <c r="S59" s="1030" t="s">
        <v>343</v>
      </c>
      <c r="T59" s="1030" t="s">
        <v>343</v>
      </c>
      <c r="U59" s="1030" t="s">
        <v>343</v>
      </c>
      <c r="V59" s="1030" t="s">
        <v>343</v>
      </c>
      <c r="W59" s="1030" t="s">
        <v>343</v>
      </c>
      <c r="X59" s="1030" t="s">
        <v>343</v>
      </c>
      <c r="Y59" s="1030" t="s">
        <v>343</v>
      </c>
      <c r="Z59" s="1030" t="s">
        <v>343</v>
      </c>
      <c r="AA59" s="1030" t="s">
        <v>343</v>
      </c>
      <c r="AB59" s="1030" t="s">
        <v>343</v>
      </c>
      <c r="AC59" s="1030" t="s">
        <v>343</v>
      </c>
      <c r="AD59" s="1128" t="s">
        <v>343</v>
      </c>
      <c r="AE59" s="993"/>
      <c r="AF59" s="993"/>
      <c r="AG59" s="993"/>
      <c r="AH59" s="993"/>
      <c r="AI59" s="993"/>
      <c r="AJ59" s="993"/>
      <c r="AK59" s="993"/>
      <c r="AL59" s="993"/>
      <c r="AM59" s="993"/>
      <c r="AN59" s="993"/>
      <c r="AO59" s="993"/>
      <c r="AP59" s="993"/>
      <c r="AQ59" s="993"/>
      <c r="AR59" s="993"/>
      <c r="AS59" s="993"/>
      <c r="AT59" s="993"/>
      <c r="AU59" s="993"/>
      <c r="AV59" s="993"/>
      <c r="AW59" s="993"/>
      <c r="AX59" s="993"/>
      <c r="AY59" s="993"/>
      <c r="AZ59" s="993"/>
      <c r="BA59" s="993"/>
      <c r="BB59" s="993"/>
      <c r="BC59" s="993"/>
      <c r="BD59" s="993"/>
      <c r="BE59" s="993"/>
      <c r="BF59" s="993"/>
      <c r="BG59" s="993"/>
      <c r="BH59" s="993"/>
      <c r="BI59" s="993"/>
    </row>
    <row r="60" spans="2:61" ht="12.75" customHeight="1" thickBot="1" x14ac:dyDescent="0.25">
      <c r="B60" s="1185"/>
      <c r="C60" s="1185"/>
      <c r="D60" s="1185"/>
      <c r="E60" s="1185"/>
      <c r="F60" s="1185"/>
      <c r="G60" s="1185"/>
      <c r="H60" s="1185"/>
      <c r="I60" s="1185"/>
      <c r="J60" s="1185"/>
      <c r="K60" s="1185"/>
      <c r="L60" s="1185"/>
      <c r="M60" s="1185"/>
      <c r="N60" s="1185"/>
      <c r="O60" s="1185"/>
      <c r="P60" s="993"/>
      <c r="Q60" s="1023" t="s">
        <v>347</v>
      </c>
      <c r="R60" s="955" t="s">
        <v>343</v>
      </c>
      <c r="S60" s="956" t="s">
        <v>343</v>
      </c>
      <c r="T60" s="956" t="s">
        <v>343</v>
      </c>
      <c r="U60" s="956" t="s">
        <v>343</v>
      </c>
      <c r="V60" s="956" t="s">
        <v>343</v>
      </c>
      <c r="W60" s="956" t="s">
        <v>343</v>
      </c>
      <c r="X60" s="956" t="s">
        <v>343</v>
      </c>
      <c r="Y60" s="956" t="s">
        <v>343</v>
      </c>
      <c r="Z60" s="956" t="s">
        <v>343</v>
      </c>
      <c r="AA60" s="956" t="s">
        <v>343</v>
      </c>
      <c r="AB60" s="956" t="s">
        <v>343</v>
      </c>
      <c r="AC60" s="956" t="s">
        <v>343</v>
      </c>
      <c r="AD60" s="1129" t="s">
        <v>343</v>
      </c>
      <c r="AE60" s="1181"/>
      <c r="AF60" s="993"/>
      <c r="AG60" s="993"/>
      <c r="AH60" s="993"/>
      <c r="AI60" s="993"/>
      <c r="AJ60" s="993"/>
      <c r="AK60" s="993"/>
      <c r="AL60" s="993"/>
      <c r="AM60" s="993"/>
      <c r="AN60" s="993"/>
      <c r="AO60" s="993"/>
      <c r="AP60" s="993"/>
      <c r="AQ60" s="993"/>
      <c r="AR60" s="993"/>
      <c r="AS60" s="993"/>
      <c r="AT60" s="993"/>
      <c r="AU60" s="993"/>
      <c r="AV60" s="993"/>
      <c r="AW60" s="993"/>
      <c r="AX60" s="993"/>
      <c r="AY60" s="993"/>
      <c r="AZ60" s="993"/>
      <c r="BA60" s="993"/>
      <c r="BB60" s="993"/>
      <c r="BC60" s="993"/>
      <c r="BD60" s="993"/>
      <c r="BE60" s="993"/>
      <c r="BF60" s="993"/>
      <c r="BG60" s="993"/>
      <c r="BH60" s="993"/>
      <c r="BI60" s="993"/>
    </row>
    <row r="61" spans="2:61" ht="13.5" thickBot="1" x14ac:dyDescent="0.25">
      <c r="B61" s="1185"/>
      <c r="C61" s="1185"/>
      <c r="D61" s="1185"/>
      <c r="E61" s="1185"/>
      <c r="F61" s="1185"/>
      <c r="G61" s="1185"/>
      <c r="H61" s="1185"/>
      <c r="I61" s="1185"/>
      <c r="J61" s="1185"/>
      <c r="K61" s="1185"/>
      <c r="L61" s="1185"/>
      <c r="M61" s="1185"/>
      <c r="N61" s="1185"/>
      <c r="O61" s="1185"/>
      <c r="P61" s="993"/>
      <c r="Q61" s="1011" t="s">
        <v>348</v>
      </c>
      <c r="R61" s="1075">
        <v>3.66</v>
      </c>
      <c r="S61" s="1076">
        <v>3.89</v>
      </c>
      <c r="T61" s="1076">
        <v>3.61</v>
      </c>
      <c r="U61" s="1076">
        <v>3.6</v>
      </c>
      <c r="V61" s="1076">
        <v>3.61</v>
      </c>
      <c r="W61" s="1076">
        <v>3.5</v>
      </c>
      <c r="X61" s="1076">
        <v>3.35</v>
      </c>
      <c r="Y61" s="1076">
        <v>3.45</v>
      </c>
      <c r="Z61" s="1076">
        <v>3.2</v>
      </c>
      <c r="AA61" s="1076">
        <v>2.5499999999999998</v>
      </c>
      <c r="AB61" s="1076">
        <v>2.4</v>
      </c>
      <c r="AC61" s="1076">
        <v>3.01</v>
      </c>
      <c r="AD61" s="1130">
        <v>3.18</v>
      </c>
      <c r="AE61" s="1191"/>
      <c r="AF61" s="993"/>
      <c r="AG61" s="993"/>
      <c r="AH61" s="993"/>
      <c r="AI61" s="993"/>
      <c r="AJ61" s="993"/>
      <c r="AK61" s="993"/>
      <c r="AL61" s="993"/>
      <c r="AM61" s="993"/>
      <c r="AN61" s="993"/>
      <c r="AO61" s="993"/>
      <c r="AP61" s="993"/>
      <c r="AQ61" s="993"/>
      <c r="AR61" s="993"/>
      <c r="AS61" s="993"/>
      <c r="AT61" s="993"/>
      <c r="AU61" s="993"/>
      <c r="AV61" s="993"/>
      <c r="AW61" s="993"/>
      <c r="AX61" s="993"/>
      <c r="AY61" s="993"/>
      <c r="AZ61" s="993"/>
      <c r="BA61" s="993"/>
      <c r="BB61" s="993"/>
      <c r="BC61" s="993"/>
      <c r="BD61" s="993"/>
      <c r="BE61" s="993"/>
      <c r="BF61" s="993"/>
      <c r="BG61" s="993"/>
      <c r="BH61" s="993"/>
      <c r="BI61" s="993"/>
    </row>
    <row r="62" spans="2:61" ht="12.75" customHeight="1" x14ac:dyDescent="0.2">
      <c r="B62" s="1185"/>
      <c r="C62" s="1185"/>
      <c r="D62" s="1185"/>
      <c r="E62" s="1185"/>
      <c r="F62" s="1185"/>
      <c r="G62" s="1185"/>
      <c r="H62" s="1185"/>
      <c r="I62" s="1185"/>
      <c r="J62" s="1185"/>
      <c r="K62" s="1185"/>
      <c r="L62" s="1185"/>
      <c r="M62" s="1185"/>
      <c r="N62" s="1185"/>
      <c r="O62" s="1185"/>
      <c r="P62" s="993"/>
      <c r="Q62" s="1409"/>
      <c r="R62" s="1180"/>
      <c r="S62" s="1180"/>
      <c r="T62" s="1180"/>
      <c r="U62" s="1180"/>
      <c r="V62" s="1180"/>
      <c r="W62" s="1180"/>
      <c r="X62" s="1180"/>
      <c r="Y62" s="1180"/>
      <c r="Z62" s="1180"/>
      <c r="AA62" s="1180"/>
      <c r="AB62" s="1180"/>
      <c r="AC62" s="1180"/>
      <c r="AD62" s="1180"/>
      <c r="AE62" s="1191"/>
      <c r="AF62" s="993"/>
      <c r="AG62" s="993"/>
      <c r="AH62" s="993"/>
      <c r="AI62" s="993"/>
      <c r="AJ62" s="993"/>
      <c r="AK62" s="993"/>
      <c r="AL62" s="993"/>
      <c r="AM62" s="993"/>
      <c r="AN62" s="993"/>
      <c r="AO62" s="993"/>
      <c r="AP62" s="993"/>
      <c r="AQ62" s="993"/>
      <c r="AR62" s="993"/>
      <c r="AS62" s="993"/>
      <c r="AT62" s="993"/>
      <c r="AU62" s="993"/>
      <c r="AV62" s="993"/>
      <c r="AW62" s="993"/>
      <c r="AX62" s="993"/>
      <c r="AY62" s="993"/>
      <c r="AZ62" s="993"/>
      <c r="BA62" s="993"/>
      <c r="BB62" s="993"/>
      <c r="BC62" s="993"/>
      <c r="BD62" s="993"/>
      <c r="BE62" s="993"/>
      <c r="BF62" s="993"/>
      <c r="BG62" s="993"/>
      <c r="BH62" s="993"/>
      <c r="BI62" s="993"/>
    </row>
    <row r="63" spans="2:61" ht="12.75" customHeight="1" x14ac:dyDescent="0.2">
      <c r="B63" s="993"/>
      <c r="C63" s="1185"/>
      <c r="D63" s="1185"/>
      <c r="E63" s="1185"/>
      <c r="F63" s="1185"/>
      <c r="G63" s="1185"/>
      <c r="H63" s="1185"/>
      <c r="I63" s="1185"/>
      <c r="J63" s="1185"/>
      <c r="K63" s="1185"/>
      <c r="L63" s="1185"/>
      <c r="M63" s="1185"/>
      <c r="N63" s="1185"/>
      <c r="O63" s="1185"/>
      <c r="P63" s="993"/>
      <c r="Q63" s="993"/>
      <c r="R63" s="993"/>
      <c r="S63" s="993"/>
      <c r="T63" s="993"/>
      <c r="U63" s="993"/>
      <c r="V63" s="993"/>
      <c r="W63" s="993"/>
      <c r="X63" s="993"/>
      <c r="Y63" s="993"/>
      <c r="Z63" s="993"/>
      <c r="AA63" s="993"/>
      <c r="AB63" s="993"/>
      <c r="AC63" s="993"/>
      <c r="AD63" s="993"/>
      <c r="AE63" s="1191"/>
      <c r="AF63" s="993"/>
      <c r="AG63" s="993"/>
      <c r="AH63" s="993"/>
      <c r="AI63" s="993"/>
      <c r="AJ63" s="993"/>
      <c r="AK63" s="993"/>
      <c r="AL63" s="993"/>
      <c r="AM63" s="993"/>
      <c r="AN63" s="993"/>
      <c r="AO63" s="993"/>
      <c r="AP63" s="993"/>
      <c r="AQ63" s="993"/>
      <c r="AR63" s="993"/>
      <c r="AS63" s="993"/>
      <c r="AT63" s="993"/>
      <c r="AU63" s="993"/>
      <c r="AV63" s="993"/>
      <c r="AW63" s="993"/>
      <c r="AX63" s="993"/>
      <c r="AY63" s="993"/>
      <c r="AZ63" s="993"/>
      <c r="BA63" s="993"/>
      <c r="BB63" s="993"/>
      <c r="BC63" s="993"/>
      <c r="BD63" s="993"/>
      <c r="BE63" s="993"/>
      <c r="BF63" s="993"/>
      <c r="BG63" s="993"/>
      <c r="BH63" s="993"/>
      <c r="BI63" s="993"/>
    </row>
    <row r="64" spans="2:61" x14ac:dyDescent="0.2">
      <c r="B64" s="993"/>
      <c r="C64" s="1185"/>
      <c r="D64" s="1185"/>
      <c r="E64" s="1185"/>
      <c r="F64" s="1185"/>
      <c r="G64" s="1185"/>
      <c r="H64" s="1185"/>
      <c r="I64" s="1185"/>
      <c r="J64" s="1185"/>
      <c r="K64" s="1185"/>
      <c r="L64" s="1185"/>
      <c r="M64" s="1185"/>
      <c r="N64" s="1185"/>
      <c r="O64" s="1185"/>
      <c r="P64" s="993"/>
      <c r="Q64" s="993"/>
      <c r="R64" s="993"/>
      <c r="S64" s="993"/>
      <c r="T64" s="993"/>
      <c r="U64" s="993"/>
      <c r="V64" s="993"/>
      <c r="W64" s="993"/>
      <c r="X64" s="993"/>
      <c r="Y64" s="993"/>
      <c r="Z64" s="993"/>
      <c r="AA64" s="993"/>
      <c r="AB64" s="993"/>
      <c r="AC64" s="993"/>
      <c r="AD64" s="993"/>
      <c r="AE64" s="1191"/>
      <c r="AF64" s="993"/>
      <c r="AG64" s="993"/>
      <c r="AH64" s="993"/>
      <c r="AI64" s="993"/>
      <c r="AJ64" s="993"/>
      <c r="AK64" s="993"/>
      <c r="AL64" s="993"/>
      <c r="AM64" s="993"/>
      <c r="AN64" s="993"/>
      <c r="AO64" s="993"/>
      <c r="AP64" s="993"/>
      <c r="AQ64" s="993"/>
      <c r="AR64" s="993"/>
      <c r="AS64" s="993"/>
      <c r="AT64" s="993"/>
      <c r="AU64" s="993"/>
      <c r="AV64" s="993"/>
      <c r="AW64" s="993"/>
      <c r="AX64" s="993"/>
      <c r="AY64" s="993"/>
      <c r="AZ64" s="993"/>
      <c r="BA64" s="993"/>
      <c r="BB64" s="993"/>
      <c r="BC64" s="993"/>
      <c r="BD64" s="993"/>
      <c r="BE64" s="993"/>
      <c r="BF64" s="993"/>
      <c r="BG64" s="993"/>
      <c r="BH64" s="993"/>
      <c r="BI64" s="993"/>
    </row>
    <row r="65" spans="2:61" x14ac:dyDescent="0.2">
      <c r="B65" s="993"/>
      <c r="C65" s="1185"/>
      <c r="D65" s="1185"/>
      <c r="E65" s="1185"/>
      <c r="F65" s="1185"/>
      <c r="G65" s="1185"/>
      <c r="H65" s="1185"/>
      <c r="I65" s="1185"/>
      <c r="J65" s="1185"/>
      <c r="K65" s="1185"/>
      <c r="L65" s="1185"/>
      <c r="M65" s="1185"/>
      <c r="N65" s="1185"/>
      <c r="O65" s="1185"/>
      <c r="P65" s="993"/>
      <c r="Q65" s="993"/>
      <c r="R65" s="993"/>
      <c r="S65" s="993"/>
      <c r="T65" s="993"/>
      <c r="U65" s="993"/>
      <c r="V65" s="993"/>
      <c r="W65" s="993"/>
      <c r="X65" s="993"/>
      <c r="Y65" s="993"/>
      <c r="Z65" s="993"/>
      <c r="AA65" s="993"/>
      <c r="AB65" s="993"/>
      <c r="AC65" s="993"/>
      <c r="AD65" s="993"/>
      <c r="AE65" s="1191"/>
      <c r="AF65" s="993"/>
      <c r="AG65" s="993"/>
      <c r="AH65" s="993"/>
      <c r="AI65" s="993"/>
      <c r="AJ65" s="993"/>
      <c r="AK65" s="993"/>
      <c r="AL65" s="993"/>
      <c r="AM65" s="993"/>
      <c r="AN65" s="993"/>
      <c r="AO65" s="993"/>
      <c r="AP65" s="993"/>
      <c r="AQ65" s="993"/>
      <c r="AR65" s="993"/>
      <c r="AS65" s="993"/>
      <c r="AT65" s="993"/>
      <c r="AU65" s="993"/>
      <c r="AV65" s="993"/>
      <c r="AW65" s="993"/>
      <c r="AX65" s="993"/>
      <c r="AY65" s="993"/>
      <c r="AZ65" s="993"/>
      <c r="BA65" s="993"/>
      <c r="BB65" s="993"/>
      <c r="BC65" s="993"/>
      <c r="BD65" s="993"/>
      <c r="BE65" s="993"/>
      <c r="BF65" s="993"/>
      <c r="BG65" s="993"/>
      <c r="BH65" s="993"/>
      <c r="BI65" s="993"/>
    </row>
    <row r="66" spans="2:61" x14ac:dyDescent="0.2">
      <c r="B66" s="993"/>
      <c r="C66" s="1185"/>
      <c r="D66" s="1185"/>
      <c r="E66" s="1185"/>
      <c r="F66" s="1185"/>
      <c r="G66" s="1185"/>
      <c r="H66" s="1185"/>
      <c r="I66" s="1185"/>
      <c r="J66" s="1185"/>
      <c r="K66" s="1185"/>
      <c r="L66" s="1185"/>
      <c r="M66" s="1185"/>
      <c r="N66" s="1185"/>
      <c r="O66" s="1185"/>
      <c r="P66" s="993"/>
      <c r="Q66" s="993"/>
      <c r="R66" s="993"/>
      <c r="S66" s="993"/>
      <c r="T66" s="993"/>
      <c r="U66" s="993"/>
      <c r="V66" s="993"/>
      <c r="W66" s="993"/>
      <c r="X66" s="993"/>
      <c r="Y66" s="993"/>
      <c r="Z66" s="993"/>
      <c r="AA66" s="993"/>
      <c r="AB66" s="993"/>
      <c r="AC66" s="993"/>
      <c r="AD66" s="993"/>
      <c r="AE66" s="1191"/>
      <c r="AF66" s="993"/>
      <c r="AG66" s="993"/>
      <c r="AH66" s="993"/>
      <c r="AI66" s="993"/>
      <c r="AJ66" s="993"/>
      <c r="AK66" s="993"/>
      <c r="AL66" s="993"/>
      <c r="AM66" s="993"/>
      <c r="AN66" s="993"/>
      <c r="AO66" s="993"/>
      <c r="AP66" s="993"/>
      <c r="AQ66" s="993"/>
      <c r="AR66" s="993"/>
      <c r="AS66" s="993"/>
      <c r="AT66" s="993"/>
      <c r="AU66" s="993"/>
      <c r="AV66" s="993"/>
      <c r="AW66" s="993"/>
      <c r="AX66" s="993"/>
      <c r="AY66" s="993"/>
      <c r="AZ66" s="993"/>
      <c r="BA66" s="993"/>
      <c r="BB66" s="993"/>
      <c r="BC66" s="993"/>
      <c r="BD66" s="993"/>
      <c r="BE66" s="993"/>
      <c r="BF66" s="993"/>
      <c r="BG66" s="993"/>
      <c r="BH66" s="993"/>
      <c r="BI66" s="993"/>
    </row>
    <row r="67" spans="2:61" x14ac:dyDescent="0.2">
      <c r="B67" s="993"/>
      <c r="C67" s="1185"/>
      <c r="D67" s="1185"/>
      <c r="E67" s="1185"/>
      <c r="F67" s="1185"/>
      <c r="G67" s="1185"/>
      <c r="H67" s="1185"/>
      <c r="I67" s="1185"/>
      <c r="J67" s="1185"/>
      <c r="K67" s="1185"/>
      <c r="L67" s="1185"/>
      <c r="M67" s="1185"/>
      <c r="N67" s="1185"/>
      <c r="O67" s="1185"/>
      <c r="P67" s="993"/>
      <c r="Q67" s="993"/>
      <c r="R67" s="993"/>
      <c r="S67" s="993"/>
      <c r="T67" s="993"/>
      <c r="U67" s="993"/>
      <c r="V67" s="993"/>
      <c r="W67" s="993"/>
      <c r="X67" s="993"/>
      <c r="Y67" s="993"/>
      <c r="Z67" s="993"/>
      <c r="AA67" s="993"/>
      <c r="AB67" s="993"/>
      <c r="AC67" s="993"/>
      <c r="AD67" s="993"/>
      <c r="AE67" s="993"/>
      <c r="AF67" s="993"/>
      <c r="AG67" s="993"/>
      <c r="AH67" s="993"/>
      <c r="AI67" s="993"/>
      <c r="AJ67" s="993"/>
      <c r="AK67" s="993"/>
      <c r="AL67" s="993"/>
      <c r="AM67" s="993"/>
      <c r="AN67" s="993"/>
      <c r="AO67" s="993"/>
      <c r="AP67" s="993"/>
      <c r="AQ67" s="993"/>
      <c r="AR67" s="993"/>
      <c r="AS67" s="993"/>
      <c r="AT67" s="993"/>
      <c r="AU67" s="993"/>
      <c r="AV67" s="993"/>
      <c r="AW67" s="993"/>
      <c r="AX67" s="993"/>
      <c r="AY67" s="993"/>
      <c r="AZ67" s="993"/>
      <c r="BA67" s="993"/>
      <c r="BB67" s="993"/>
      <c r="BC67" s="993"/>
      <c r="BD67" s="993"/>
      <c r="BE67" s="993"/>
      <c r="BF67" s="993"/>
      <c r="BG67" s="993"/>
      <c r="BH67" s="993"/>
      <c r="BI67" s="993"/>
    </row>
    <row r="68" spans="2:61" ht="12.75" customHeight="1" x14ac:dyDescent="0.2">
      <c r="Q68" s="1404"/>
      <c r="AE68" s="1061"/>
    </row>
    <row r="69" spans="2:61" x14ac:dyDescent="0.2">
      <c r="AE69" s="1108"/>
    </row>
    <row r="70" spans="2:61" x14ac:dyDescent="0.2">
      <c r="AE70" s="1108"/>
    </row>
    <row r="71" spans="2:61" ht="12.75" customHeight="1" x14ac:dyDescent="0.2">
      <c r="AE71" s="1108"/>
    </row>
    <row r="72" spans="2:61" x14ac:dyDescent="0.2">
      <c r="AE72" s="1108"/>
    </row>
    <row r="73" spans="2:61" x14ac:dyDescent="0.2">
      <c r="AE73" s="1108"/>
    </row>
    <row r="74" spans="2:61" x14ac:dyDescent="0.2">
      <c r="AE74" s="1108"/>
    </row>
    <row r="77" spans="2:61" ht="12.75" customHeight="1" x14ac:dyDescent="0.2"/>
    <row r="80" spans="2:61" ht="12.75" customHeight="1" x14ac:dyDescent="0.2"/>
    <row r="86" ht="12.75" customHeight="1" x14ac:dyDescent="0.2"/>
    <row r="89" ht="12.75" customHeight="1" x14ac:dyDescent="0.2"/>
  </sheetData>
  <sheetProtection password="C576" sheet="1" objects="1" scenarios="1"/>
  <phoneticPr fontId="16" type="noConversion"/>
  <pageMargins left="0.74803149606299213" right="0.74803149606299213" top="0.98425196850393704" bottom="0.98425196850393704" header="0.51181102362204722" footer="0.51181102362204722"/>
  <pageSetup paperSize="9" scale="44" orientation="landscape" r:id="rId1"/>
  <headerFooter alignWithMargins="0"/>
  <legacyDrawing r:id="rId2"/>
  <picture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N64"/>
  <sheetViews>
    <sheetView showGridLines="0" zoomScale="91" zoomScaleNormal="91" workbookViewId="0">
      <selection activeCell="G26" sqref="G26"/>
    </sheetView>
  </sheetViews>
  <sheetFormatPr defaultRowHeight="12.75" x14ac:dyDescent="0.2"/>
  <cols>
    <col min="1" max="1" width="10" style="1211" customWidth="1"/>
    <col min="2" max="2" width="28" style="1211" customWidth="1"/>
    <col min="3" max="3" width="9.5703125" style="1211" customWidth="1"/>
    <col min="4" max="4" width="9.140625" style="1211"/>
    <col min="5" max="5" width="9.7109375" style="1211" customWidth="1"/>
    <col min="6" max="8" width="9.140625" style="1211"/>
    <col min="9" max="9" width="2.5703125" style="1211" customWidth="1"/>
    <col min="10" max="10" width="23" style="1211" customWidth="1"/>
    <col min="11" max="11" width="19" style="1211" customWidth="1"/>
    <col min="12" max="12" width="23.28515625" style="1211" customWidth="1"/>
    <col min="13" max="13" width="15.28515625" style="1211" customWidth="1"/>
    <col min="14" max="14" width="13.140625" style="1211" customWidth="1"/>
    <col min="15" max="16384" width="9.140625" style="1211"/>
  </cols>
  <sheetData>
    <row r="2" spans="2:14" ht="15" x14ac:dyDescent="0.2">
      <c r="B2" s="1210" t="s">
        <v>512</v>
      </c>
      <c r="J2" s="1210" t="s">
        <v>511</v>
      </c>
    </row>
    <row r="3" spans="2:14" ht="15" x14ac:dyDescent="0.2">
      <c r="B3" s="1210" t="s">
        <v>513</v>
      </c>
      <c r="J3" s="1210" t="s">
        <v>565</v>
      </c>
    </row>
    <row r="4" spans="2:14" ht="15" x14ac:dyDescent="0.2">
      <c r="B4" s="1210" t="s">
        <v>510</v>
      </c>
    </row>
    <row r="5" spans="2:14" ht="15" x14ac:dyDescent="0.2">
      <c r="B5" s="1210" t="s">
        <v>514</v>
      </c>
    </row>
    <row r="6" spans="2:14" ht="13.5" thickBot="1" x14ac:dyDescent="0.25"/>
    <row r="7" spans="2:14" ht="18.75" thickBot="1" x14ac:dyDescent="0.3">
      <c r="B7" s="1212" t="s">
        <v>566</v>
      </c>
      <c r="C7" s="1213"/>
      <c r="D7" s="1213"/>
      <c r="E7" s="1213"/>
      <c r="F7" s="1214"/>
      <c r="J7" s="1215" t="s">
        <v>509</v>
      </c>
    </row>
    <row r="8" spans="2:14" ht="13.5" thickBot="1" x14ac:dyDescent="0.25">
      <c r="B8" s="1216" t="s">
        <v>217</v>
      </c>
      <c r="C8" s="1217"/>
      <c r="D8" s="1217"/>
      <c r="E8" s="1217"/>
      <c r="F8" s="1218"/>
    </row>
    <row r="9" spans="2:14" s="1210" customFormat="1" ht="16.5" thickBot="1" x14ac:dyDescent="0.3">
      <c r="B9" s="1219" t="s">
        <v>243</v>
      </c>
      <c r="C9" s="1220" t="s">
        <v>238</v>
      </c>
      <c r="D9" s="1221" t="s">
        <v>239</v>
      </c>
      <c r="E9" s="1222" t="s">
        <v>508</v>
      </c>
      <c r="F9" s="1223" t="s">
        <v>277</v>
      </c>
      <c r="J9" s="1224" t="s">
        <v>499</v>
      </c>
      <c r="K9" s="1253" t="s">
        <v>507</v>
      </c>
      <c r="L9" s="1225" t="s">
        <v>533</v>
      </c>
      <c r="M9" s="1226" t="s">
        <v>498</v>
      </c>
      <c r="N9" s="1211"/>
    </row>
    <row r="10" spans="2:14" x14ac:dyDescent="0.2">
      <c r="B10" s="1227" t="s">
        <v>244</v>
      </c>
      <c r="C10" s="1228" t="s">
        <v>241</v>
      </c>
      <c r="D10" s="1229" t="s">
        <v>242</v>
      </c>
      <c r="E10" s="1230" t="s">
        <v>506</v>
      </c>
      <c r="F10" s="1231" t="s">
        <v>255</v>
      </c>
      <c r="J10" s="1232" t="s">
        <v>505</v>
      </c>
      <c r="K10" s="1621">
        <v>0</v>
      </c>
      <c r="L10" s="1424">
        <v>0</v>
      </c>
      <c r="M10" s="1233">
        <f>L10*K10</f>
        <v>0</v>
      </c>
    </row>
    <row r="11" spans="2:14" x14ac:dyDescent="0.2">
      <c r="B11" s="1396" t="s">
        <v>100</v>
      </c>
      <c r="C11" s="1413">
        <v>0</v>
      </c>
      <c r="D11" s="1414">
        <v>0</v>
      </c>
      <c r="E11" s="1234">
        <f t="shared" ref="E11:E22" si="0">C11*D11</f>
        <v>0</v>
      </c>
      <c r="F11" s="1235">
        <f t="shared" ref="F11:F25" si="1">IF(E11=0,0,E11/$E$25)</f>
        <v>0</v>
      </c>
      <c r="J11" s="1236" t="s">
        <v>504</v>
      </c>
      <c r="K11" s="1425">
        <v>0</v>
      </c>
      <c r="L11" s="1426">
        <v>0</v>
      </c>
      <c r="M11" s="1237">
        <f>L11*K11</f>
        <v>0</v>
      </c>
    </row>
    <row r="12" spans="2:14" x14ac:dyDescent="0.2">
      <c r="B12" s="1396" t="s">
        <v>108</v>
      </c>
      <c r="C12" s="1413">
        <v>0</v>
      </c>
      <c r="D12" s="1414">
        <v>0</v>
      </c>
      <c r="E12" s="1234">
        <f t="shared" si="0"/>
        <v>0</v>
      </c>
      <c r="F12" s="1235">
        <f t="shared" si="1"/>
        <v>0</v>
      </c>
      <c r="J12" s="1236" t="s">
        <v>503</v>
      </c>
      <c r="K12" s="1425">
        <v>0</v>
      </c>
      <c r="L12" s="1426">
        <v>0</v>
      </c>
      <c r="M12" s="1237">
        <f>L12*K12</f>
        <v>0</v>
      </c>
    </row>
    <row r="13" spans="2:14" x14ac:dyDescent="0.2">
      <c r="B13" s="1396" t="s">
        <v>101</v>
      </c>
      <c r="C13" s="1413">
        <v>0</v>
      </c>
      <c r="D13" s="1414">
        <v>0</v>
      </c>
      <c r="E13" s="1234">
        <f t="shared" si="0"/>
        <v>0</v>
      </c>
      <c r="F13" s="1235">
        <f t="shared" si="1"/>
        <v>0</v>
      </c>
      <c r="J13" s="1236" t="s">
        <v>502</v>
      </c>
      <c r="K13" s="1425">
        <v>0</v>
      </c>
      <c r="L13" s="1426">
        <v>0</v>
      </c>
      <c r="M13" s="1237">
        <f>L13*K13</f>
        <v>0</v>
      </c>
    </row>
    <row r="14" spans="2:14" ht="13.5" thickBot="1" x14ac:dyDescent="0.25">
      <c r="B14" s="1396" t="s">
        <v>102</v>
      </c>
      <c r="C14" s="1413">
        <v>0</v>
      </c>
      <c r="D14" s="1414">
        <v>0</v>
      </c>
      <c r="E14" s="1234">
        <f t="shared" si="0"/>
        <v>0</v>
      </c>
      <c r="F14" s="1235">
        <f t="shared" si="1"/>
        <v>0</v>
      </c>
      <c r="J14" s="1236" t="s">
        <v>501</v>
      </c>
      <c r="K14" s="1427">
        <v>0</v>
      </c>
      <c r="L14" s="1428">
        <v>0</v>
      </c>
      <c r="M14" s="1238">
        <f>L14*K14</f>
        <v>0</v>
      </c>
    </row>
    <row r="15" spans="2:14" ht="15" thickBot="1" x14ac:dyDescent="0.25">
      <c r="B15" s="1396" t="s">
        <v>103</v>
      </c>
      <c r="C15" s="1413">
        <v>0</v>
      </c>
      <c r="D15" s="1414">
        <v>0</v>
      </c>
      <c r="E15" s="1234">
        <f t="shared" si="0"/>
        <v>0</v>
      </c>
      <c r="F15" s="1235">
        <f t="shared" si="1"/>
        <v>0</v>
      </c>
      <c r="J15" s="1239" t="s">
        <v>500</v>
      </c>
      <c r="K15" s="1240"/>
      <c r="L15" s="1241"/>
      <c r="M15" s="1242">
        <f>SUM(M10:M14)</f>
        <v>0</v>
      </c>
    </row>
    <row r="16" spans="2:14" ht="13.5" thickBot="1" x14ac:dyDescent="0.25">
      <c r="B16" s="1396" t="s">
        <v>104</v>
      </c>
      <c r="C16" s="1413">
        <v>0</v>
      </c>
      <c r="D16" s="1414">
        <v>0</v>
      </c>
      <c r="E16" s="1234">
        <f t="shared" si="0"/>
        <v>0</v>
      </c>
      <c r="F16" s="1235">
        <f t="shared" si="1"/>
        <v>0</v>
      </c>
    </row>
    <row r="17" spans="2:14" ht="16.5" thickBot="1" x14ac:dyDescent="0.3">
      <c r="B17" s="1396" t="s">
        <v>105</v>
      </c>
      <c r="C17" s="1413">
        <v>0</v>
      </c>
      <c r="D17" s="1414">
        <v>0</v>
      </c>
      <c r="E17" s="1234">
        <f t="shared" si="0"/>
        <v>0</v>
      </c>
      <c r="F17" s="1235">
        <f t="shared" si="1"/>
        <v>0</v>
      </c>
      <c r="J17" s="1224" t="s">
        <v>499</v>
      </c>
      <c r="K17" s="1253" t="s">
        <v>498</v>
      </c>
      <c r="L17" s="1225" t="s">
        <v>494</v>
      </c>
      <c r="M17" s="1226" t="s">
        <v>497</v>
      </c>
    </row>
    <row r="18" spans="2:14" x14ac:dyDescent="0.2">
      <c r="B18" s="1396" t="s">
        <v>106</v>
      </c>
      <c r="C18" s="1413">
        <v>0</v>
      </c>
      <c r="D18" s="1414">
        <v>0</v>
      </c>
      <c r="E18" s="1234">
        <f t="shared" si="0"/>
        <v>0</v>
      </c>
      <c r="F18" s="1235">
        <f t="shared" si="1"/>
        <v>0</v>
      </c>
      <c r="J18" s="1243" t="s">
        <v>557</v>
      </c>
      <c r="K18" s="1620">
        <v>0</v>
      </c>
      <c r="L18" s="1429">
        <v>0</v>
      </c>
      <c r="M18" s="1244">
        <f>L18*K18</f>
        <v>0</v>
      </c>
    </row>
    <row r="19" spans="2:14" x14ac:dyDescent="0.2">
      <c r="B19" s="1396" t="s">
        <v>37</v>
      </c>
      <c r="C19" s="1413">
        <v>0</v>
      </c>
      <c r="D19" s="1414">
        <v>0</v>
      </c>
      <c r="E19" s="1234">
        <f t="shared" si="0"/>
        <v>0</v>
      </c>
      <c r="F19" s="1235">
        <f t="shared" si="1"/>
        <v>0</v>
      </c>
      <c r="J19" s="1245" t="s">
        <v>558</v>
      </c>
      <c r="K19" s="1427">
        <v>0</v>
      </c>
      <c r="L19" s="1430">
        <v>0</v>
      </c>
      <c r="M19" s="1246">
        <f>L19*K19</f>
        <v>0</v>
      </c>
    </row>
    <row r="20" spans="2:14" ht="13.5" thickBot="1" x14ac:dyDescent="0.25">
      <c r="B20" s="1396" t="s">
        <v>36</v>
      </c>
      <c r="C20" s="1413">
        <v>0</v>
      </c>
      <c r="D20" s="1414">
        <v>0</v>
      </c>
      <c r="E20" s="1234">
        <f t="shared" si="0"/>
        <v>0</v>
      </c>
      <c r="F20" s="1235">
        <f t="shared" si="1"/>
        <v>0</v>
      </c>
      <c r="J20" s="1247" t="s">
        <v>7</v>
      </c>
      <c r="K20" s="1619">
        <v>0</v>
      </c>
      <c r="L20" s="1431">
        <v>0</v>
      </c>
      <c r="M20" s="1248">
        <f>L20*K20</f>
        <v>0</v>
      </c>
    </row>
    <row r="21" spans="2:14" ht="13.5" thickBot="1" x14ac:dyDescent="0.25">
      <c r="B21" s="1396" t="s">
        <v>94</v>
      </c>
      <c r="C21" s="1413">
        <v>0</v>
      </c>
      <c r="D21" s="1414">
        <v>0</v>
      </c>
      <c r="E21" s="1234">
        <f t="shared" si="0"/>
        <v>0</v>
      </c>
      <c r="F21" s="1235">
        <f t="shared" si="1"/>
        <v>0</v>
      </c>
    </row>
    <row r="22" spans="2:14" ht="16.5" thickBot="1" x14ac:dyDescent="0.3">
      <c r="B22" s="1397" t="s">
        <v>93</v>
      </c>
      <c r="C22" s="1413">
        <v>0</v>
      </c>
      <c r="D22" s="1414">
        <v>0</v>
      </c>
      <c r="E22" s="1249">
        <f t="shared" si="0"/>
        <v>0</v>
      </c>
      <c r="F22" s="1250">
        <f t="shared" si="1"/>
        <v>0</v>
      </c>
      <c r="J22" s="1251" t="s">
        <v>496</v>
      </c>
      <c r="K22" s="1252" t="s">
        <v>495</v>
      </c>
      <c r="L22" s="1253" t="s">
        <v>494</v>
      </c>
      <c r="M22" s="1254" t="s">
        <v>493</v>
      </c>
      <c r="N22" s="1255" t="s">
        <v>545</v>
      </c>
    </row>
    <row r="23" spans="2:14" ht="13.5" thickBot="1" x14ac:dyDescent="0.25">
      <c r="B23" s="1256" t="s">
        <v>245</v>
      </c>
      <c r="C23" s="1257">
        <f>SUM(C11:C22)</f>
        <v>0</v>
      </c>
      <c r="D23" s="1258">
        <f>IF(C23=0,0,E23/C23)</f>
        <v>0</v>
      </c>
      <c r="E23" s="1259">
        <f>SUM(E11:E22)</f>
        <v>0</v>
      </c>
      <c r="F23" s="1260">
        <f t="shared" si="1"/>
        <v>0</v>
      </c>
      <c r="J23" s="1236" t="s">
        <v>567</v>
      </c>
      <c r="K23" s="1432">
        <v>0</v>
      </c>
      <c r="L23" s="1433">
        <v>0</v>
      </c>
      <c r="M23" s="1434">
        <v>0</v>
      </c>
      <c r="N23" s="1261">
        <f>L23*K23*M23</f>
        <v>0</v>
      </c>
    </row>
    <row r="24" spans="2:14" ht="13.5" thickBot="1" x14ac:dyDescent="0.25">
      <c r="B24" s="1262" t="s">
        <v>220</v>
      </c>
      <c r="C24" s="1263"/>
      <c r="D24" s="1264"/>
      <c r="E24" s="1415">
        <v>0</v>
      </c>
      <c r="F24" s="1250">
        <f t="shared" si="1"/>
        <v>0</v>
      </c>
      <c r="J24" s="1265" t="s">
        <v>568</v>
      </c>
      <c r="K24" s="1435">
        <v>0</v>
      </c>
      <c r="L24" s="1436">
        <v>0</v>
      </c>
      <c r="M24" s="1437">
        <v>0</v>
      </c>
      <c r="N24" s="1266">
        <f>L24*K24*M24</f>
        <v>0</v>
      </c>
    </row>
    <row r="25" spans="2:14" ht="15.75" thickBot="1" x14ac:dyDescent="0.3">
      <c r="B25" s="1267" t="s">
        <v>219</v>
      </c>
      <c r="C25" s="1263"/>
      <c r="D25" s="1268"/>
      <c r="E25" s="1269">
        <f>E23+E24</f>
        <v>0</v>
      </c>
      <c r="F25" s="1270">
        <f t="shared" si="1"/>
        <v>0</v>
      </c>
      <c r="J25" s="1271" t="s">
        <v>569</v>
      </c>
      <c r="K25" s="1252" t="s">
        <v>559</v>
      </c>
      <c r="L25" s="1253" t="s">
        <v>560</v>
      </c>
      <c r="M25" s="1255" t="s">
        <v>495</v>
      </c>
    </row>
    <row r="26" spans="2:14" ht="13.5" thickBot="1" x14ac:dyDescent="0.25">
      <c r="B26" s="1272" t="s">
        <v>222</v>
      </c>
      <c r="C26" s="1273"/>
      <c r="D26" s="1273"/>
      <c r="E26" s="1273"/>
      <c r="F26" s="1274"/>
      <c r="J26" s="1275" t="s">
        <v>570</v>
      </c>
      <c r="K26" s="1432">
        <v>0</v>
      </c>
      <c r="L26" s="1433">
        <v>0</v>
      </c>
      <c r="M26" s="1276">
        <f>K26*L26</f>
        <v>0</v>
      </c>
    </row>
    <row r="27" spans="2:14" ht="13.5" thickBot="1" x14ac:dyDescent="0.25">
      <c r="B27" s="1277" t="s">
        <v>235</v>
      </c>
      <c r="C27" s="1278" t="s">
        <v>492</v>
      </c>
      <c r="D27" s="1279" t="s">
        <v>491</v>
      </c>
      <c r="E27" s="1280" t="s">
        <v>490</v>
      </c>
      <c r="F27" s="1281"/>
      <c r="J27" s="1275" t="s">
        <v>1</v>
      </c>
      <c r="K27" s="1252" t="s">
        <v>556</v>
      </c>
      <c r="L27" s="1253" t="s">
        <v>561</v>
      </c>
      <c r="M27" s="1255" t="s">
        <v>495</v>
      </c>
    </row>
    <row r="28" spans="2:14" ht="13.5" thickBot="1" x14ac:dyDescent="0.25">
      <c r="B28" s="1398" t="s">
        <v>267</v>
      </c>
      <c r="C28" s="1416">
        <v>0</v>
      </c>
      <c r="D28" s="1419">
        <v>0</v>
      </c>
      <c r="E28" s="1282">
        <f>D28*C28</f>
        <v>0</v>
      </c>
      <c r="F28" s="1283">
        <f>IF(E28=0,0,E28/$E$25)</f>
        <v>0</v>
      </c>
      <c r="J28" s="1275" t="s">
        <v>571</v>
      </c>
      <c r="K28" s="1435">
        <v>0</v>
      </c>
      <c r="L28" s="1436">
        <v>0</v>
      </c>
      <c r="M28" s="1284">
        <f>K28/100*L28</f>
        <v>0</v>
      </c>
    </row>
    <row r="29" spans="2:14" x14ac:dyDescent="0.2">
      <c r="B29" s="1399" t="s">
        <v>489</v>
      </c>
      <c r="C29" s="1417">
        <v>0</v>
      </c>
      <c r="D29" s="1285">
        <f>D28</f>
        <v>0</v>
      </c>
      <c r="E29" s="1286">
        <f>D29*C29</f>
        <v>0</v>
      </c>
      <c r="F29" s="1283">
        <f>IF(E29=0,0,E29/$E$25)</f>
        <v>0</v>
      </c>
    </row>
    <row r="30" spans="2:14" ht="13.5" thickBot="1" x14ac:dyDescent="0.25">
      <c r="B30" s="1399" t="s">
        <v>7</v>
      </c>
      <c r="C30" s="1418">
        <v>0</v>
      </c>
      <c r="D30" s="1287">
        <f>D28</f>
        <v>0</v>
      </c>
      <c r="E30" s="1288">
        <f>D30*C30</f>
        <v>0</v>
      </c>
      <c r="F30" s="1289">
        <f>IF(E30=0,0,E30/$E$25)</f>
        <v>0</v>
      </c>
    </row>
    <row r="31" spans="2:14" ht="15.75" thickBot="1" x14ac:dyDescent="0.3">
      <c r="B31" s="1290" t="s">
        <v>236</v>
      </c>
      <c r="C31" s="1291" t="s">
        <v>1</v>
      </c>
      <c r="D31" s="1292"/>
      <c r="E31" s="1293"/>
      <c r="F31" s="1274"/>
      <c r="J31" s="1401" t="s">
        <v>579</v>
      </c>
      <c r="K31" s="1402" t="s">
        <v>608</v>
      </c>
    </row>
    <row r="32" spans="2:14" ht="13.5" thickBot="1" x14ac:dyDescent="0.25">
      <c r="B32" s="1400" t="s">
        <v>267</v>
      </c>
      <c r="C32" s="1291" t="s">
        <v>1</v>
      </c>
      <c r="D32" s="1294"/>
      <c r="E32" s="1420">
        <v>0</v>
      </c>
      <c r="F32" s="1235">
        <f t="shared" ref="F32:F47" si="2">IF(E32=0,0,E32/$E$25)</f>
        <v>0</v>
      </c>
      <c r="J32" s="1342" t="s">
        <v>606</v>
      </c>
      <c r="K32" s="1438">
        <v>0</v>
      </c>
    </row>
    <row r="33" spans="2:11" ht="13.5" thickBot="1" x14ac:dyDescent="0.25">
      <c r="B33" s="1399" t="s">
        <v>7</v>
      </c>
      <c r="C33" s="1295" t="s">
        <v>1</v>
      </c>
      <c r="D33" s="1296"/>
      <c r="E33" s="1421">
        <v>0</v>
      </c>
      <c r="F33" s="1283">
        <f t="shared" si="2"/>
        <v>0</v>
      </c>
      <c r="J33" s="1343" t="s">
        <v>607</v>
      </c>
      <c r="K33" s="578">
        <f>K32/(1+$K$35)</f>
        <v>0</v>
      </c>
    </row>
    <row r="34" spans="2:11" ht="13.5" thickBot="1" x14ac:dyDescent="0.25">
      <c r="B34" s="1290" t="s">
        <v>165</v>
      </c>
      <c r="C34" s="1291"/>
      <c r="D34" s="1294"/>
      <c r="E34" s="1421">
        <v>0</v>
      </c>
      <c r="F34" s="1289">
        <f t="shared" si="2"/>
        <v>0</v>
      </c>
      <c r="J34" s="1343" t="s">
        <v>580</v>
      </c>
      <c r="K34" s="578">
        <f>K32-K33</f>
        <v>0</v>
      </c>
    </row>
    <row r="35" spans="2:11" ht="15.75" thickBot="1" x14ac:dyDescent="0.3">
      <c r="B35" s="1297" t="s">
        <v>248</v>
      </c>
      <c r="C35" s="1298"/>
      <c r="D35" s="1299"/>
      <c r="E35" s="1300">
        <f>SUM(E28:E34)</f>
        <v>0</v>
      </c>
      <c r="F35" s="1260">
        <f t="shared" si="2"/>
        <v>0</v>
      </c>
      <c r="J35" s="1275" t="s">
        <v>581</v>
      </c>
      <c r="K35" s="1439">
        <v>0.24</v>
      </c>
    </row>
    <row r="36" spans="2:11" x14ac:dyDescent="0.2">
      <c r="B36" s="1301" t="s">
        <v>488</v>
      </c>
      <c r="C36" s="1302"/>
      <c r="D36" s="1303"/>
      <c r="E36" s="1422">
        <v>0</v>
      </c>
      <c r="F36" s="1235">
        <f t="shared" si="2"/>
        <v>0</v>
      </c>
    </row>
    <row r="37" spans="2:11" x14ac:dyDescent="0.2">
      <c r="B37" s="1301" t="s">
        <v>129</v>
      </c>
      <c r="C37" s="1302"/>
      <c r="D37" s="1303"/>
      <c r="E37" s="1423">
        <v>0</v>
      </c>
      <c r="F37" s="1283">
        <f t="shared" si="2"/>
        <v>0</v>
      </c>
    </row>
    <row r="38" spans="2:11" x14ac:dyDescent="0.2">
      <c r="B38" s="1301" t="s">
        <v>139</v>
      </c>
      <c r="C38" s="1302"/>
      <c r="D38" s="1303"/>
      <c r="E38" s="1423">
        <v>0</v>
      </c>
      <c r="F38" s="1283">
        <f t="shared" si="2"/>
        <v>0</v>
      </c>
    </row>
    <row r="39" spans="2:11" x14ac:dyDescent="0.2">
      <c r="B39" s="1301" t="s">
        <v>128</v>
      </c>
      <c r="C39" s="1302"/>
      <c r="D39" s="1303"/>
      <c r="E39" s="1423">
        <v>0</v>
      </c>
      <c r="F39" s="1283">
        <f t="shared" si="2"/>
        <v>0</v>
      </c>
    </row>
    <row r="40" spans="2:11" x14ac:dyDescent="0.2">
      <c r="B40" s="1301" t="s">
        <v>134</v>
      </c>
      <c r="C40" s="1302"/>
      <c r="D40" s="1303"/>
      <c r="E40" s="1423">
        <v>0</v>
      </c>
      <c r="F40" s="1283">
        <f t="shared" si="2"/>
        <v>0</v>
      </c>
    </row>
    <row r="41" spans="2:11" ht="13.5" thickBot="1" x14ac:dyDescent="0.25">
      <c r="B41" s="1301" t="s">
        <v>133</v>
      </c>
      <c r="C41" s="1302"/>
      <c r="D41" s="1303"/>
      <c r="E41" s="1421">
        <v>0</v>
      </c>
      <c r="F41" s="1289">
        <f t="shared" si="2"/>
        <v>0</v>
      </c>
    </row>
    <row r="42" spans="2:11" ht="15.75" thickBot="1" x14ac:dyDescent="0.3">
      <c r="B42" s="1304" t="s">
        <v>249</v>
      </c>
      <c r="C42" s="1292"/>
      <c r="D42" s="1305"/>
      <c r="E42" s="1306">
        <f>SUM(E36:E41)</f>
        <v>0</v>
      </c>
      <c r="F42" s="1260">
        <f t="shared" si="2"/>
        <v>0</v>
      </c>
    </row>
    <row r="43" spans="2:11" ht="13.5" thickBot="1" x14ac:dyDescent="0.25">
      <c r="B43" s="1290" t="s">
        <v>254</v>
      </c>
      <c r="C43" s="1292"/>
      <c r="D43" s="1305"/>
      <c r="E43" s="1307">
        <f>E25-E35-E42</f>
        <v>0</v>
      </c>
      <c r="F43" s="1260">
        <f t="shared" si="2"/>
        <v>0</v>
      </c>
    </row>
    <row r="44" spans="2:11" x14ac:dyDescent="0.2">
      <c r="B44" s="1400" t="s">
        <v>227</v>
      </c>
      <c r="C44" s="1292"/>
      <c r="D44" s="1308"/>
      <c r="E44" s="1422">
        <v>0</v>
      </c>
      <c r="F44" s="1235">
        <f t="shared" si="2"/>
        <v>0</v>
      </c>
    </row>
    <row r="45" spans="2:11" ht="13.5" thickBot="1" x14ac:dyDescent="0.25">
      <c r="B45" s="1399" t="s">
        <v>487</v>
      </c>
      <c r="C45" s="1302"/>
      <c r="D45" s="1309"/>
      <c r="E45" s="1423">
        <v>0</v>
      </c>
      <c r="F45" s="1289">
        <f t="shared" si="2"/>
        <v>0</v>
      </c>
    </row>
    <row r="46" spans="2:11" ht="15.75" thickBot="1" x14ac:dyDescent="0.3">
      <c r="B46" s="1310" t="s">
        <v>252</v>
      </c>
      <c r="C46" s="1292"/>
      <c r="D46" s="1294"/>
      <c r="E46" s="1311">
        <f>SUM(E44:E45)</f>
        <v>0</v>
      </c>
      <c r="F46" s="1260">
        <f t="shared" si="2"/>
        <v>0</v>
      </c>
    </row>
    <row r="47" spans="2:11" ht="13.5" thickBot="1" x14ac:dyDescent="0.25">
      <c r="B47" s="1312" t="s">
        <v>564</v>
      </c>
      <c r="C47" s="1313"/>
      <c r="D47" s="1299"/>
      <c r="E47" s="1307">
        <f>E43-E46</f>
        <v>0</v>
      </c>
      <c r="F47" s="1314">
        <f t="shared" si="2"/>
        <v>0</v>
      </c>
      <c r="G47" s="1385" t="s">
        <v>1</v>
      </c>
    </row>
    <row r="49" spans="2:9" ht="13.5" thickBot="1" x14ac:dyDescent="0.25"/>
    <row r="50" spans="2:9" ht="15.75" thickBot="1" x14ac:dyDescent="0.3">
      <c r="B50" s="1315" t="s">
        <v>486</v>
      </c>
      <c r="C50" s="1316"/>
      <c r="D50" s="1317"/>
      <c r="E50" s="1259">
        <f>E25</f>
        <v>0</v>
      </c>
      <c r="F50" s="1314">
        <f t="shared" ref="F50:F56" si="3">IF(E50=0,0,E50/$E$25)</f>
        <v>0</v>
      </c>
    </row>
    <row r="51" spans="2:9" ht="13.5" thickBot="1" x14ac:dyDescent="0.25">
      <c r="B51" s="1318" t="s">
        <v>572</v>
      </c>
      <c r="C51" s="1319"/>
      <c r="D51" s="1320"/>
      <c r="E51" s="1324">
        <f>E28+E29+E30</f>
        <v>0</v>
      </c>
      <c r="F51" s="1314">
        <f t="shared" si="3"/>
        <v>0</v>
      </c>
    </row>
    <row r="52" spans="2:9" ht="13.5" thickBot="1" x14ac:dyDescent="0.25">
      <c r="B52" s="1321" t="s">
        <v>236</v>
      </c>
      <c r="C52" s="1322"/>
      <c r="D52" s="1323"/>
      <c r="E52" s="1324">
        <f>E32+E33</f>
        <v>0</v>
      </c>
      <c r="F52" s="1314">
        <f t="shared" si="3"/>
        <v>0</v>
      </c>
    </row>
    <row r="53" spans="2:9" ht="13.5" thickBot="1" x14ac:dyDescent="0.25">
      <c r="B53" s="1325" t="s">
        <v>573</v>
      </c>
      <c r="C53" s="1326"/>
      <c r="D53" s="1327"/>
      <c r="E53" s="1311">
        <f>E34</f>
        <v>0</v>
      </c>
      <c r="F53" s="1314">
        <f t="shared" si="3"/>
        <v>0</v>
      </c>
    </row>
    <row r="54" spans="2:9" ht="15.75" thickBot="1" x14ac:dyDescent="0.3">
      <c r="B54" s="1328" t="s">
        <v>485</v>
      </c>
      <c r="C54" s="1326"/>
      <c r="D54" s="1327"/>
      <c r="E54" s="1311">
        <f>E42</f>
        <v>0</v>
      </c>
      <c r="F54" s="1314">
        <f t="shared" si="3"/>
        <v>0</v>
      </c>
      <c r="G54" s="1386"/>
      <c r="I54" s="1386"/>
    </row>
    <row r="55" spans="2:9" ht="15.75" thickBot="1" x14ac:dyDescent="0.3">
      <c r="B55" s="1310" t="s">
        <v>484</v>
      </c>
      <c r="C55" s="1292"/>
      <c r="D55" s="1294"/>
      <c r="E55" s="1311">
        <f>E46</f>
        <v>0</v>
      </c>
      <c r="F55" s="1314">
        <f t="shared" si="3"/>
        <v>0</v>
      </c>
    </row>
    <row r="56" spans="2:9" ht="17.25" customHeight="1" thickBot="1" x14ac:dyDescent="0.3">
      <c r="B56" s="1329" t="s">
        <v>563</v>
      </c>
      <c r="C56" s="1313"/>
      <c r="D56" s="1299"/>
      <c r="E56" s="1307">
        <f>E47</f>
        <v>0</v>
      </c>
      <c r="F56" s="1314">
        <f t="shared" si="3"/>
        <v>0</v>
      </c>
    </row>
    <row r="58" spans="2:9" ht="13.5" thickBot="1" x14ac:dyDescent="0.25"/>
    <row r="59" spans="2:9" ht="15.75" thickBot="1" x14ac:dyDescent="0.3">
      <c r="B59" s="1330" t="s">
        <v>597</v>
      </c>
      <c r="C59" s="1232" t="s">
        <v>574</v>
      </c>
      <c r="D59" s="1211" t="s">
        <v>1</v>
      </c>
      <c r="E59" s="1387" t="s">
        <v>1</v>
      </c>
    </row>
    <row r="60" spans="2:9" x14ac:dyDescent="0.2">
      <c r="B60" s="1331" t="s">
        <v>577</v>
      </c>
      <c r="C60" s="1244">
        <f>C28+C29+C30</f>
        <v>0</v>
      </c>
      <c r="E60" s="1388"/>
    </row>
    <row r="61" spans="2:9" ht="13.5" thickBot="1" x14ac:dyDescent="0.25">
      <c r="B61" s="1332" t="s">
        <v>578</v>
      </c>
      <c r="C61" s="1333">
        <f>IF(E38=0,0,E38/D28)</f>
        <v>0</v>
      </c>
    </row>
    <row r="62" spans="2:9" ht="13.5" thickBot="1" x14ac:dyDescent="0.25">
      <c r="B62" s="1334" t="s">
        <v>598</v>
      </c>
      <c r="C62" s="1335">
        <f>SUM(C60:C61)</f>
        <v>0</v>
      </c>
    </row>
    <row r="63" spans="2:9" ht="13.5" thickBot="1" x14ac:dyDescent="0.25"/>
    <row r="64" spans="2:9" ht="13.5" thickBot="1" x14ac:dyDescent="0.25">
      <c r="B64" s="1216" t="s">
        <v>638</v>
      </c>
      <c r="C64" s="1336">
        <f>IF(C62=0,0,((E47+E38+E30+E29+E28)/C62))</f>
        <v>0</v>
      </c>
    </row>
  </sheetData>
  <sheetProtection password="C576" sheet="1" objects="1" scenarios="1"/>
  <pageMargins left="0.70866141732283472" right="0.70866141732283472" top="0.74803149606299213" bottom="0.74803149606299213" header="0.31496062992125984" footer="0.31496062992125984"/>
  <pageSetup paperSize="9" scale="56" orientation="landscape" r:id="rId1"/>
  <ignoredErrors>
    <ignoredError sqref="D23"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P299"/>
  <sheetViews>
    <sheetView showGridLines="0" zoomScale="95" zoomScaleNormal="95" zoomScaleSheetLayoutView="51" zoomScalePageLayoutView="24" workbookViewId="0">
      <selection activeCell="H28" sqref="H28"/>
    </sheetView>
  </sheetViews>
  <sheetFormatPr defaultRowHeight="12.75" x14ac:dyDescent="0.2"/>
  <cols>
    <col min="1" max="1" width="3.28515625" customWidth="1"/>
    <col min="2" max="2" width="0.7109375" customWidth="1"/>
    <col min="3" max="3" width="4.140625" customWidth="1"/>
    <col min="4" max="4" width="58.85546875" bestFit="1" customWidth="1"/>
    <col min="5" max="5" width="13.42578125" customWidth="1"/>
    <col min="6" max="6" width="4.5703125" customWidth="1"/>
    <col min="7" max="7" width="10.140625" customWidth="1"/>
    <col min="8" max="8" width="5" customWidth="1"/>
    <col min="9" max="9" width="0.5703125" customWidth="1"/>
    <col min="10" max="10" width="5" customWidth="1"/>
    <col min="11" max="11" width="75.42578125" bestFit="1" customWidth="1"/>
    <col min="12" max="12" width="11.42578125" customWidth="1"/>
    <col min="13" max="13" width="4.7109375" customWidth="1"/>
    <col min="14" max="14" width="10.140625" customWidth="1"/>
    <col min="15" max="15" width="4.85546875" customWidth="1"/>
    <col min="16" max="16" width="0.5703125" customWidth="1"/>
    <col min="17" max="17" width="5" customWidth="1"/>
    <col min="18" max="18" width="71.140625" bestFit="1" customWidth="1"/>
    <col min="19" max="19" width="11.42578125" customWidth="1"/>
    <col min="20" max="20" width="3.7109375" customWidth="1"/>
    <col min="21" max="21" width="10.140625" customWidth="1"/>
    <col min="22" max="22" width="5" customWidth="1"/>
    <col min="23" max="23" width="0.5703125" customWidth="1"/>
    <col min="24" max="24" width="4.85546875" customWidth="1"/>
    <col min="25" max="25" width="71.140625" bestFit="1" customWidth="1"/>
    <col min="26" max="26" width="11.42578125" customWidth="1"/>
    <col min="27" max="27" width="4.7109375" customWidth="1"/>
    <col min="28" max="28" width="10.140625" customWidth="1"/>
    <col min="29" max="29" width="4.140625" customWidth="1"/>
    <col min="30" max="30" width="0.7109375" customWidth="1"/>
    <col min="31" max="31" width="2" customWidth="1"/>
    <col min="33" max="33" width="10.140625" customWidth="1"/>
    <col min="34" max="34" width="3.7109375" customWidth="1"/>
    <col min="35" max="35" width="9.5703125" customWidth="1"/>
    <col min="36" max="36" width="1.85546875" customWidth="1"/>
    <col min="38" max="38" width="2" customWidth="1"/>
    <col min="39" max="39" width="50.85546875" customWidth="1"/>
    <col min="40" max="40" width="9.28515625" bestFit="1" customWidth="1"/>
    <col min="41" max="41" width="3.7109375" customWidth="1"/>
    <col min="42" max="42" width="9.5703125" customWidth="1"/>
  </cols>
  <sheetData>
    <row r="1" spans="2:31" ht="24" customHeight="1" thickBot="1" x14ac:dyDescent="0.25">
      <c r="B1" s="358"/>
      <c r="I1" s="350"/>
      <c r="P1" s="350"/>
      <c r="W1" s="350"/>
      <c r="AD1" s="358"/>
    </row>
    <row r="2" spans="2:31" ht="21" thickBot="1" x14ac:dyDescent="0.35">
      <c r="B2" s="358"/>
      <c r="D2" s="1" t="s">
        <v>0</v>
      </c>
      <c r="E2" s="344"/>
      <c r="F2" s="344"/>
      <c r="G2" s="11"/>
      <c r="H2" s="319"/>
      <c r="I2" s="821"/>
      <c r="J2" s="319"/>
      <c r="K2" s="1" t="s">
        <v>0</v>
      </c>
      <c r="L2" s="344"/>
      <c r="M2" s="344"/>
      <c r="N2" s="11"/>
      <c r="O2" s="319"/>
      <c r="P2" s="821"/>
      <c r="Q2" s="319"/>
      <c r="R2" s="1" t="s">
        <v>0</v>
      </c>
      <c r="S2" s="344"/>
      <c r="T2" s="344"/>
      <c r="U2" s="11"/>
      <c r="V2" s="319"/>
      <c r="W2" s="821"/>
      <c r="X2" s="319"/>
      <c r="Y2" s="1" t="s">
        <v>0</v>
      </c>
      <c r="Z2" s="344"/>
      <c r="AA2" s="344"/>
      <c r="AB2" s="11"/>
      <c r="AD2" s="358"/>
    </row>
    <row r="3" spans="2:31" ht="13.5" thickBot="1" x14ac:dyDescent="0.25">
      <c r="B3" s="358"/>
      <c r="D3" s="319"/>
      <c r="E3" s="319"/>
      <c r="F3" s="319"/>
      <c r="G3" s="319"/>
      <c r="H3" s="319"/>
      <c r="I3" s="821"/>
      <c r="J3" s="319"/>
      <c r="K3" s="319"/>
      <c r="L3" s="319"/>
      <c r="M3" s="319"/>
      <c r="N3" s="319"/>
      <c r="O3" s="319"/>
      <c r="P3" s="821"/>
      <c r="Q3" s="319"/>
      <c r="R3" s="319"/>
      <c r="S3" s="319"/>
      <c r="T3" s="319"/>
      <c r="U3" s="319"/>
      <c r="V3" s="319"/>
      <c r="W3" s="821"/>
      <c r="X3" s="319"/>
      <c r="Y3" s="319"/>
      <c r="Z3" s="319"/>
      <c r="AA3" s="319"/>
      <c r="AB3" s="319"/>
      <c r="AD3" s="358"/>
    </row>
    <row r="4" spans="2:31" ht="18.75" thickBot="1" x14ac:dyDescent="0.3">
      <c r="B4" s="358"/>
      <c r="D4" s="1440" t="s">
        <v>609</v>
      </c>
      <c r="E4" s="1624" t="s">
        <v>436</v>
      </c>
      <c r="F4" s="1625"/>
      <c r="G4" s="1626"/>
      <c r="H4" s="319"/>
      <c r="I4" s="821"/>
      <c r="J4" s="319"/>
      <c r="K4" s="356" t="str">
        <f>D4</f>
        <v>Verkko1</v>
      </c>
      <c r="L4" s="1624" t="s">
        <v>336</v>
      </c>
      <c r="M4" s="1625"/>
      <c r="N4" s="1626"/>
      <c r="O4" s="319"/>
      <c r="P4" s="821"/>
      <c r="Q4" s="319"/>
      <c r="R4" s="356" t="str">
        <f>D4</f>
        <v>Verkko1</v>
      </c>
      <c r="S4" s="1624" t="s">
        <v>337</v>
      </c>
      <c r="T4" s="1625"/>
      <c r="U4" s="1626"/>
      <c r="V4" s="319"/>
      <c r="W4" s="821"/>
      <c r="X4" s="319"/>
      <c r="Y4" s="356" t="str">
        <f>D4</f>
        <v>Verkko1</v>
      </c>
      <c r="Z4" s="1624" t="s">
        <v>335</v>
      </c>
      <c r="AA4" s="1625"/>
      <c r="AB4" s="1626"/>
      <c r="AD4" s="358"/>
    </row>
    <row r="5" spans="2:31" ht="13.5" thickBot="1" x14ac:dyDescent="0.25">
      <c r="B5" s="358"/>
      <c r="C5" s="319" t="s">
        <v>1</v>
      </c>
      <c r="D5" s="319"/>
      <c r="E5" s="319"/>
      <c r="F5" s="319"/>
      <c r="G5" s="319"/>
      <c r="H5" s="319"/>
      <c r="I5" s="821"/>
      <c r="J5" s="319"/>
      <c r="K5" s="319"/>
      <c r="L5" s="319"/>
      <c r="M5" s="319"/>
      <c r="N5" s="319"/>
      <c r="O5" s="319"/>
      <c r="P5" s="821"/>
      <c r="Q5" s="319"/>
      <c r="R5" s="822"/>
      <c r="S5" s="319"/>
      <c r="T5" s="319"/>
      <c r="U5" s="319"/>
      <c r="V5" s="319"/>
      <c r="W5" s="821"/>
      <c r="X5" s="319"/>
      <c r="Y5" s="823"/>
      <c r="Z5" s="319"/>
      <c r="AA5" s="319"/>
      <c r="AB5" s="319"/>
      <c r="AD5" s="358"/>
    </row>
    <row r="6" spans="2:31" ht="15" customHeight="1" thickBot="1" x14ac:dyDescent="0.25">
      <c r="B6" s="358"/>
      <c r="D6" s="61" t="s">
        <v>170</v>
      </c>
      <c r="E6" s="67" t="s">
        <v>1</v>
      </c>
      <c r="F6" s="135" t="s">
        <v>1</v>
      </c>
      <c r="G6" s="1441">
        <v>0</v>
      </c>
      <c r="H6" s="319"/>
      <c r="I6" s="821"/>
      <c r="J6" s="319"/>
      <c r="K6" s="61" t="s">
        <v>170</v>
      </c>
      <c r="L6" s="352"/>
      <c r="M6" s="135" t="s">
        <v>1</v>
      </c>
      <c r="N6" s="1450">
        <v>0</v>
      </c>
      <c r="O6" s="319"/>
      <c r="P6" s="821"/>
      <c r="Q6" s="319"/>
      <c r="R6" s="61" t="s">
        <v>170</v>
      </c>
      <c r="S6" s="352"/>
      <c r="T6" s="135" t="s">
        <v>1</v>
      </c>
      <c r="U6" s="1441">
        <v>0</v>
      </c>
      <c r="V6" s="319"/>
      <c r="W6" s="821"/>
      <c r="X6" s="319"/>
      <c r="Y6" s="61" t="s">
        <v>170</v>
      </c>
      <c r="Z6" s="67"/>
      <c r="AA6" s="135" t="s">
        <v>1</v>
      </c>
      <c r="AB6" s="1441">
        <v>0</v>
      </c>
      <c r="AD6" s="358"/>
    </row>
    <row r="7" spans="2:31" ht="13.5" thickBot="1" x14ac:dyDescent="0.25">
      <c r="B7" s="358"/>
      <c r="D7" s="319"/>
      <c r="E7" s="319"/>
      <c r="F7" s="319"/>
      <c r="G7" s="319"/>
      <c r="H7" s="319"/>
      <c r="I7" s="821"/>
      <c r="J7" s="319"/>
      <c r="K7" s="319"/>
      <c r="L7" s="319"/>
      <c r="M7" s="319"/>
      <c r="N7" s="319"/>
      <c r="O7" s="319"/>
      <c r="P7" s="821"/>
      <c r="Q7" s="319"/>
      <c r="R7" s="319"/>
      <c r="S7" s="319"/>
      <c r="T7" s="319"/>
      <c r="U7" s="319"/>
      <c r="V7" s="319"/>
      <c r="W7" s="821"/>
      <c r="X7" s="319"/>
      <c r="Y7" s="319"/>
      <c r="Z7" s="319"/>
      <c r="AA7" s="319"/>
      <c r="AB7" s="319"/>
      <c r="AD7" s="358"/>
      <c r="AE7" t="s">
        <v>1</v>
      </c>
    </row>
    <row r="8" spans="2:31" ht="13.5" thickBot="1" x14ac:dyDescent="0.25">
      <c r="B8" s="358"/>
      <c r="D8" s="61" t="s">
        <v>378</v>
      </c>
      <c r="E8" s="824" t="s">
        <v>1</v>
      </c>
      <c r="F8" s="824"/>
      <c r="G8" s="825"/>
      <c r="H8" s="319"/>
      <c r="I8" s="821"/>
      <c r="J8" s="319"/>
      <c r="K8" s="61" t="s">
        <v>378</v>
      </c>
      <c r="L8" s="824" t="s">
        <v>1</v>
      </c>
      <c r="M8" s="824"/>
      <c r="N8" s="825"/>
      <c r="O8" s="319"/>
      <c r="P8" s="821"/>
      <c r="Q8" s="319"/>
      <c r="R8" s="61" t="s">
        <v>378</v>
      </c>
      <c r="S8" s="824" t="s">
        <v>1</v>
      </c>
      <c r="T8" s="824"/>
      <c r="U8" s="825"/>
      <c r="V8" s="319"/>
      <c r="W8" s="821"/>
      <c r="X8" s="319"/>
      <c r="Y8" s="61" t="s">
        <v>378</v>
      </c>
      <c r="Z8" s="824" t="s">
        <v>1</v>
      </c>
      <c r="AA8" s="824"/>
      <c r="AB8" s="825"/>
      <c r="AD8" s="358"/>
    </row>
    <row r="9" spans="2:31" ht="13.5" thickBot="1" x14ac:dyDescent="0.25">
      <c r="B9" s="358"/>
      <c r="D9" s="91" t="s">
        <v>2</v>
      </c>
      <c r="E9" s="1442">
        <v>0</v>
      </c>
      <c r="F9" s="826"/>
      <c r="G9" s="713" t="s">
        <v>43</v>
      </c>
      <c r="H9" s="319"/>
      <c r="I9" s="821"/>
      <c r="J9" s="319"/>
      <c r="K9" s="12" t="s">
        <v>2</v>
      </c>
      <c r="L9" s="1451">
        <v>0</v>
      </c>
      <c r="M9" s="827"/>
      <c r="N9" s="357" t="s">
        <v>43</v>
      </c>
      <c r="O9" s="319"/>
      <c r="P9" s="821"/>
      <c r="Q9" s="319"/>
      <c r="R9" s="12" t="s">
        <v>2</v>
      </c>
      <c r="S9" s="1451">
        <v>0</v>
      </c>
      <c r="T9" s="827"/>
      <c r="U9" s="357" t="s">
        <v>43</v>
      </c>
      <c r="V9" s="319"/>
      <c r="W9" s="821"/>
      <c r="X9" s="319"/>
      <c r="Y9" s="12" t="s">
        <v>2</v>
      </c>
      <c r="Z9" s="1451">
        <v>0</v>
      </c>
      <c r="AA9" s="827"/>
      <c r="AB9" s="357" t="s">
        <v>43</v>
      </c>
      <c r="AD9" s="358"/>
    </row>
    <row r="10" spans="2:31" ht="13.5" thickBot="1" x14ac:dyDescent="0.25">
      <c r="B10" s="358"/>
      <c r="D10" s="92" t="s">
        <v>3</v>
      </c>
      <c r="E10" s="1442">
        <v>0</v>
      </c>
      <c r="F10" s="828"/>
      <c r="G10" s="617">
        <f>IF(G6=0,0,E10-E9+1)</f>
        <v>0</v>
      </c>
      <c r="H10" s="319"/>
      <c r="I10" s="821"/>
      <c r="J10" s="319"/>
      <c r="K10" s="92" t="s">
        <v>3</v>
      </c>
      <c r="L10" s="1442">
        <v>0</v>
      </c>
      <c r="M10" s="828"/>
      <c r="N10" s="617">
        <f>IF(N6=0,0,L10-L9+1)</f>
        <v>0</v>
      </c>
      <c r="O10" s="319"/>
      <c r="P10" s="821"/>
      <c r="Q10" s="319"/>
      <c r="R10" s="92" t="s">
        <v>3</v>
      </c>
      <c r="S10" s="1442">
        <v>0</v>
      </c>
      <c r="T10" s="828"/>
      <c r="U10" s="617">
        <f>IF(U6=0,0,S10-S9+1)</f>
        <v>0</v>
      </c>
      <c r="V10" s="319"/>
      <c r="W10" s="821"/>
      <c r="X10" s="319"/>
      <c r="Y10" s="92" t="s">
        <v>3</v>
      </c>
      <c r="Z10" s="1442">
        <v>0</v>
      </c>
      <c r="AA10" s="828"/>
      <c r="AB10" s="617">
        <f>IF(AB6=0,0,Z10-Z9+1)</f>
        <v>0</v>
      </c>
      <c r="AD10" s="358"/>
    </row>
    <row r="11" spans="2:31" ht="13.5" thickBot="1" x14ac:dyDescent="0.25">
      <c r="B11" s="358"/>
      <c r="D11" s="319"/>
      <c r="E11" s="1197"/>
      <c r="F11" s="319"/>
      <c r="G11" s="319"/>
      <c r="H11" s="319"/>
      <c r="I11" s="821"/>
      <c r="J11" s="319"/>
      <c r="K11" s="319"/>
      <c r="L11" s="319"/>
      <c r="M11" s="319"/>
      <c r="N11" s="319"/>
      <c r="O11" s="319"/>
      <c r="P11" s="821"/>
      <c r="Q11" s="319"/>
      <c r="R11" s="319"/>
      <c r="S11" s="319"/>
      <c r="T11" s="319"/>
      <c r="U11" s="319"/>
      <c r="V11" s="319"/>
      <c r="W11" s="821"/>
      <c r="X11" s="319"/>
      <c r="Y11" s="319"/>
      <c r="Z11" s="319"/>
      <c r="AA11" s="319"/>
      <c r="AB11" s="319"/>
      <c r="AD11" s="358"/>
    </row>
    <row r="12" spans="2:31" ht="13.5" thickBot="1" x14ac:dyDescent="0.25">
      <c r="B12" s="358"/>
      <c r="D12" s="61" t="s">
        <v>171</v>
      </c>
      <c r="E12" s="1382"/>
      <c r="F12" s="352"/>
      <c r="G12" s="745"/>
      <c r="H12" s="319"/>
      <c r="I12" s="821"/>
      <c r="J12" s="319"/>
      <c r="K12" s="61" t="s">
        <v>171</v>
      </c>
      <c r="L12" s="352"/>
      <c r="M12" s="352"/>
      <c r="N12" s="745"/>
      <c r="O12" s="319"/>
      <c r="P12" s="821"/>
      <c r="Q12" s="319"/>
      <c r="R12" s="61" t="s">
        <v>171</v>
      </c>
      <c r="S12" s="352"/>
      <c r="T12" s="352"/>
      <c r="U12" s="745"/>
      <c r="V12" s="319"/>
      <c r="W12" s="821"/>
      <c r="X12" s="319"/>
      <c r="Y12" s="61" t="s">
        <v>171</v>
      </c>
      <c r="Z12" s="352"/>
      <c r="AA12" s="352"/>
      <c r="AB12" s="745"/>
      <c r="AD12" s="358"/>
    </row>
    <row r="13" spans="2:31" ht="13.5" thickBot="1" x14ac:dyDescent="0.25">
      <c r="B13" s="358"/>
      <c r="D13" s="12" t="s">
        <v>6</v>
      </c>
      <c r="E13" s="1443">
        <v>0</v>
      </c>
      <c r="F13" s="827"/>
      <c r="G13" s="829"/>
      <c r="H13" s="319"/>
      <c r="I13" s="821"/>
      <c r="J13" s="319"/>
      <c r="K13" s="12" t="s">
        <v>6</v>
      </c>
      <c r="L13" s="1443">
        <v>0</v>
      </c>
      <c r="M13" s="827"/>
      <c r="N13" s="829"/>
      <c r="O13" s="319"/>
      <c r="P13" s="821"/>
      <c r="Q13" s="319"/>
      <c r="R13" s="91" t="s">
        <v>6</v>
      </c>
      <c r="S13" s="1443">
        <v>0</v>
      </c>
      <c r="T13" s="826"/>
      <c r="U13" s="830"/>
      <c r="V13" s="319"/>
      <c r="W13" s="821"/>
      <c r="X13" s="319"/>
      <c r="Y13" s="12" t="s">
        <v>6</v>
      </c>
      <c r="Z13" s="1443">
        <v>0</v>
      </c>
      <c r="AA13" s="827"/>
      <c r="AB13" s="829"/>
      <c r="AD13" s="358"/>
    </row>
    <row r="14" spans="2:31" ht="13.5" thickBot="1" x14ac:dyDescent="0.25">
      <c r="B14" s="358"/>
      <c r="D14" s="92" t="s">
        <v>24</v>
      </c>
      <c r="E14" s="831">
        <f>IF(G6=0,0,ROUND(G10/7*E13,0))</f>
        <v>0</v>
      </c>
      <c r="F14" s="828"/>
      <c r="G14" s="702"/>
      <c r="H14" s="319"/>
      <c r="I14" s="821"/>
      <c r="J14" s="319"/>
      <c r="K14" s="92" t="s">
        <v>24</v>
      </c>
      <c r="L14" s="831">
        <f>IF(N6=0,0,ROUND(N10/7*L13,0))</f>
        <v>0</v>
      </c>
      <c r="M14" s="828"/>
      <c r="N14" s="702"/>
      <c r="O14" s="319"/>
      <c r="P14" s="821"/>
      <c r="Q14" s="319"/>
      <c r="R14" s="92" t="s">
        <v>24</v>
      </c>
      <c r="S14" s="831">
        <f>IF(U6=0,0,ROUND(U10/7*S13,0))</f>
        <v>0</v>
      </c>
      <c r="T14" s="828"/>
      <c r="U14" s="702"/>
      <c r="V14" s="319"/>
      <c r="W14" s="821"/>
      <c r="X14" s="319"/>
      <c r="Y14" s="92" t="s">
        <v>24</v>
      </c>
      <c r="Z14" s="831">
        <f>IF(AB6=0,0,ROUND(AB10/7*Z13,0))</f>
        <v>0</v>
      </c>
      <c r="AA14" s="828"/>
      <c r="AB14" s="702"/>
      <c r="AD14" s="358"/>
    </row>
    <row r="15" spans="2:31" ht="13.5" thickBot="1" x14ac:dyDescent="0.25">
      <c r="B15" s="358"/>
      <c r="D15" s="319"/>
      <c r="E15" s="319"/>
      <c r="F15" s="319"/>
      <c r="G15" s="319"/>
      <c r="H15" s="319"/>
      <c r="I15" s="821"/>
      <c r="J15" s="319"/>
      <c r="K15" s="319"/>
      <c r="L15" s="319"/>
      <c r="M15" s="319"/>
      <c r="N15" s="319"/>
      <c r="O15" s="319"/>
      <c r="P15" s="821"/>
      <c r="Q15" s="319"/>
      <c r="R15" s="319"/>
      <c r="S15" s="319"/>
      <c r="T15" s="319"/>
      <c r="U15" s="319"/>
      <c r="V15" s="319"/>
      <c r="W15" s="821"/>
      <c r="X15" s="319"/>
      <c r="Y15" s="319"/>
      <c r="Z15" s="319"/>
      <c r="AA15" s="319"/>
      <c r="AB15" s="319"/>
      <c r="AD15" s="358"/>
    </row>
    <row r="16" spans="2:31" ht="13.5" thickBot="1" x14ac:dyDescent="0.25">
      <c r="B16" s="358"/>
      <c r="D16" s="61" t="s">
        <v>57</v>
      </c>
      <c r="E16" s="352"/>
      <c r="F16" s="352"/>
      <c r="G16" s="745"/>
      <c r="H16" s="319"/>
      <c r="I16" s="821"/>
      <c r="J16" s="319"/>
      <c r="K16" s="94" t="s">
        <v>57</v>
      </c>
      <c r="L16" s="353"/>
      <c r="M16" s="353"/>
      <c r="N16" s="832"/>
      <c r="O16" s="319"/>
      <c r="P16" s="821"/>
      <c r="Q16" s="319"/>
      <c r="R16" s="61" t="s">
        <v>57</v>
      </c>
      <c r="S16" s="352"/>
      <c r="T16" s="353"/>
      <c r="U16" s="832"/>
      <c r="V16" s="319"/>
      <c r="W16" s="821"/>
      <c r="X16" s="319"/>
      <c r="Y16" s="61" t="s">
        <v>57</v>
      </c>
      <c r="Z16" s="352"/>
      <c r="AA16" s="353"/>
      <c r="AB16" s="832"/>
      <c r="AD16" s="358"/>
    </row>
    <row r="17" spans="2:30" ht="13.5" thickBot="1" x14ac:dyDescent="0.25">
      <c r="B17" s="358"/>
      <c r="D17" s="5" t="s">
        <v>7</v>
      </c>
      <c r="E17" s="833"/>
      <c r="F17" s="833"/>
      <c r="G17" s="834"/>
      <c r="H17" s="319"/>
      <c r="I17" s="821"/>
      <c r="J17" s="319"/>
      <c r="K17" s="5" t="s">
        <v>7</v>
      </c>
      <c r="L17" s="833"/>
      <c r="M17" s="833"/>
      <c r="N17" s="834"/>
      <c r="O17" s="319"/>
      <c r="P17" s="821"/>
      <c r="Q17" s="319"/>
      <c r="R17" s="5" t="s">
        <v>7</v>
      </c>
      <c r="S17" s="835"/>
      <c r="T17" s="833"/>
      <c r="U17" s="834"/>
      <c r="V17" s="319"/>
      <c r="W17" s="821"/>
      <c r="X17" s="319"/>
      <c r="Y17" s="5" t="s">
        <v>7</v>
      </c>
      <c r="Z17" s="835"/>
      <c r="AA17" s="833"/>
      <c r="AB17" s="834"/>
      <c r="AD17" s="358"/>
    </row>
    <row r="18" spans="2:30" ht="13.5" thickBot="1" x14ac:dyDescent="0.25">
      <c r="B18" s="358"/>
      <c r="D18" s="12" t="s">
        <v>9</v>
      </c>
      <c r="E18" s="845">
        <v>0</v>
      </c>
      <c r="F18" s="267"/>
      <c r="G18" s="829"/>
      <c r="H18" s="319"/>
      <c r="I18" s="821"/>
      <c r="J18" s="319"/>
      <c r="K18" s="12" t="s">
        <v>9</v>
      </c>
      <c r="L18" s="845">
        <v>0</v>
      </c>
      <c r="M18" s="267"/>
      <c r="N18" s="829"/>
      <c r="O18" s="319"/>
      <c r="P18" s="821"/>
      <c r="Q18" s="319"/>
      <c r="R18" s="12" t="s">
        <v>9</v>
      </c>
      <c r="S18" s="845">
        <v>0</v>
      </c>
      <c r="T18" s="267"/>
      <c r="U18" s="829"/>
      <c r="V18" s="319"/>
      <c r="W18" s="821"/>
      <c r="X18" s="319"/>
      <c r="Y18" s="12" t="s">
        <v>9</v>
      </c>
      <c r="Z18" s="845">
        <v>0</v>
      </c>
      <c r="AA18" s="267"/>
      <c r="AB18" s="829"/>
      <c r="AD18" s="358"/>
    </row>
    <row r="19" spans="2:30" ht="13.5" thickBot="1" x14ac:dyDescent="0.25">
      <c r="B19" s="358"/>
      <c r="D19" s="12" t="s">
        <v>8</v>
      </c>
      <c r="E19" s="845">
        <v>0</v>
      </c>
      <c r="F19" s="267"/>
      <c r="G19" s="357" t="s">
        <v>48</v>
      </c>
      <c r="H19" s="319"/>
      <c r="I19" s="821"/>
      <c r="J19" s="319"/>
      <c r="K19" s="12" t="s">
        <v>8</v>
      </c>
      <c r="L19" s="845">
        <v>0</v>
      </c>
      <c r="M19" s="267"/>
      <c r="N19" s="357" t="s">
        <v>48</v>
      </c>
      <c r="O19" s="319"/>
      <c r="P19" s="821"/>
      <c r="Q19" s="319"/>
      <c r="R19" s="12" t="s">
        <v>8</v>
      </c>
      <c r="S19" s="845">
        <v>0</v>
      </c>
      <c r="T19" s="267"/>
      <c r="U19" s="357" t="s">
        <v>48</v>
      </c>
      <c r="V19" s="319"/>
      <c r="W19" s="821"/>
      <c r="X19" s="319"/>
      <c r="Y19" s="12" t="s">
        <v>8</v>
      </c>
      <c r="Z19" s="845">
        <v>0</v>
      </c>
      <c r="AA19" s="267"/>
      <c r="AB19" s="357" t="s">
        <v>48</v>
      </c>
      <c r="AD19" s="358"/>
    </row>
    <row r="20" spans="2:30" ht="13.5" thickBot="1" x14ac:dyDescent="0.25">
      <c r="B20" s="358"/>
      <c r="D20" s="12" t="s">
        <v>11</v>
      </c>
      <c r="E20" s="841">
        <v>0</v>
      </c>
      <c r="F20" s="836"/>
      <c r="G20" s="1445">
        <v>1</v>
      </c>
      <c r="H20" s="319"/>
      <c r="I20" s="821"/>
      <c r="J20" s="319"/>
      <c r="K20" s="12" t="s">
        <v>11</v>
      </c>
      <c r="L20" s="841">
        <v>0</v>
      </c>
      <c r="M20" s="836"/>
      <c r="N20" s="1445">
        <v>1</v>
      </c>
      <c r="O20" s="319"/>
      <c r="P20" s="821"/>
      <c r="Q20" s="319"/>
      <c r="R20" s="12" t="s">
        <v>11</v>
      </c>
      <c r="S20" s="841">
        <v>0</v>
      </c>
      <c r="T20" s="836"/>
      <c r="U20" s="1445">
        <v>1</v>
      </c>
      <c r="V20" s="319"/>
      <c r="W20" s="821"/>
      <c r="X20" s="319"/>
      <c r="Y20" s="12" t="s">
        <v>11</v>
      </c>
      <c r="Z20" s="841">
        <v>0</v>
      </c>
      <c r="AA20" s="836"/>
      <c r="AB20" s="1445">
        <v>1</v>
      </c>
      <c r="AD20" s="358"/>
    </row>
    <row r="21" spans="2:30" ht="13.5" thickBot="1" x14ac:dyDescent="0.25">
      <c r="B21" s="358"/>
      <c r="D21" s="12" t="s">
        <v>50</v>
      </c>
      <c r="E21" s="845">
        <v>0</v>
      </c>
      <c r="F21" s="267"/>
      <c r="G21" s="357" t="s">
        <v>48</v>
      </c>
      <c r="H21" s="319"/>
      <c r="I21" s="821"/>
      <c r="J21" s="319"/>
      <c r="K21" s="12" t="s">
        <v>50</v>
      </c>
      <c r="L21" s="845">
        <v>0</v>
      </c>
      <c r="M21" s="267"/>
      <c r="N21" s="357" t="s">
        <v>48</v>
      </c>
      <c r="O21" s="319"/>
      <c r="P21" s="821"/>
      <c r="Q21" s="319"/>
      <c r="R21" s="12" t="s">
        <v>50</v>
      </c>
      <c r="S21" s="845">
        <v>0</v>
      </c>
      <c r="T21" s="267"/>
      <c r="U21" s="357" t="s">
        <v>48</v>
      </c>
      <c r="V21" s="319"/>
      <c r="W21" s="821"/>
      <c r="X21" s="319"/>
      <c r="Y21" s="12" t="s">
        <v>50</v>
      </c>
      <c r="Z21" s="845">
        <v>0</v>
      </c>
      <c r="AA21" s="267"/>
      <c r="AB21" s="357" t="s">
        <v>48</v>
      </c>
      <c r="AD21" s="358"/>
    </row>
    <row r="22" spans="2:30" ht="13.5" thickBot="1" x14ac:dyDescent="0.25">
      <c r="B22" s="358"/>
      <c r="D22" s="12" t="s">
        <v>49</v>
      </c>
      <c r="E22" s="1444">
        <v>0</v>
      </c>
      <c r="F22" s="836"/>
      <c r="G22" s="1445">
        <v>1</v>
      </c>
      <c r="H22" s="319"/>
      <c r="I22" s="821"/>
      <c r="J22" s="319"/>
      <c r="K22" s="12" t="s">
        <v>49</v>
      </c>
      <c r="L22" s="1444">
        <v>0</v>
      </c>
      <c r="M22" s="836"/>
      <c r="N22" s="1445">
        <v>1</v>
      </c>
      <c r="O22" s="319"/>
      <c r="P22" s="821"/>
      <c r="Q22" s="319"/>
      <c r="R22" s="12" t="s">
        <v>49</v>
      </c>
      <c r="S22" s="1444">
        <v>0</v>
      </c>
      <c r="T22" s="836"/>
      <c r="U22" s="1445">
        <v>1</v>
      </c>
      <c r="V22" s="319"/>
      <c r="W22" s="821"/>
      <c r="X22" s="319"/>
      <c r="Y22" s="12" t="s">
        <v>49</v>
      </c>
      <c r="Z22" s="1444">
        <v>0</v>
      </c>
      <c r="AA22" s="836"/>
      <c r="AB22" s="1445">
        <v>1</v>
      </c>
      <c r="AD22" s="358"/>
    </row>
    <row r="23" spans="2:30" ht="13.5" thickBot="1" x14ac:dyDescent="0.25">
      <c r="B23" s="358"/>
      <c r="D23" s="12" t="s">
        <v>10</v>
      </c>
      <c r="E23" s="845">
        <v>0</v>
      </c>
      <c r="F23" s="267"/>
      <c r="G23" s="256"/>
      <c r="H23" s="319"/>
      <c r="I23" s="821"/>
      <c r="J23" s="319"/>
      <c r="K23" s="12" t="s">
        <v>10</v>
      </c>
      <c r="L23" s="845">
        <v>0</v>
      </c>
      <c r="M23" s="267"/>
      <c r="N23" s="256"/>
      <c r="O23" s="319"/>
      <c r="P23" s="821"/>
      <c r="Q23" s="319"/>
      <c r="R23" s="12" t="s">
        <v>10</v>
      </c>
      <c r="S23" s="845">
        <v>0</v>
      </c>
      <c r="T23" s="267"/>
      <c r="U23" s="256"/>
      <c r="V23" s="319"/>
      <c r="W23" s="821"/>
      <c r="X23" s="319"/>
      <c r="Y23" s="12" t="s">
        <v>10</v>
      </c>
      <c r="Z23" s="845">
        <v>0</v>
      </c>
      <c r="AA23" s="267"/>
      <c r="AB23" s="256"/>
      <c r="AD23" s="358"/>
    </row>
    <row r="24" spans="2:30" ht="13.5" thickBot="1" x14ac:dyDescent="0.25">
      <c r="B24" s="358"/>
      <c r="D24" s="12" t="s">
        <v>53</v>
      </c>
      <c r="E24" s="1444">
        <v>0</v>
      </c>
      <c r="F24" s="267"/>
      <c r="G24" s="1363" t="s">
        <v>439</v>
      </c>
      <c r="H24" s="319"/>
      <c r="I24" s="821"/>
      <c r="J24" s="319"/>
      <c r="K24" s="12" t="s">
        <v>53</v>
      </c>
      <c r="L24" s="1444">
        <v>0</v>
      </c>
      <c r="M24" s="267"/>
      <c r="N24" s="1363" t="s">
        <v>439</v>
      </c>
      <c r="O24" s="319"/>
      <c r="P24" s="821"/>
      <c r="Q24" s="319"/>
      <c r="R24" s="12" t="s">
        <v>53</v>
      </c>
      <c r="S24" s="1444">
        <v>0</v>
      </c>
      <c r="T24" s="267"/>
      <c r="U24" s="1363" t="s">
        <v>439</v>
      </c>
      <c r="V24" s="319"/>
      <c r="W24" s="821"/>
      <c r="X24" s="319"/>
      <c r="Y24" s="12" t="s">
        <v>53</v>
      </c>
      <c r="Z24" s="1444">
        <v>0</v>
      </c>
      <c r="AA24" s="267"/>
      <c r="AB24" s="1363" t="s">
        <v>439</v>
      </c>
      <c r="AD24" s="358"/>
    </row>
    <row r="25" spans="2:30" ht="13.5" thickBot="1" x14ac:dyDescent="0.25">
      <c r="B25" s="358"/>
      <c r="D25" s="2" t="s">
        <v>550</v>
      </c>
      <c r="E25" s="1207">
        <f>IF(G25=1,'10. Verot'!$C$17/100,IF('2.1 Verkkopyynti'!G25=2,'10. Verot'!$D$17/100))</f>
        <v>1.3709677419354838</v>
      </c>
      <c r="F25" s="837"/>
      <c r="G25" s="1446">
        <v>1</v>
      </c>
      <c r="H25" s="319"/>
      <c r="I25" s="821"/>
      <c r="J25" s="319"/>
      <c r="K25" s="2" t="s">
        <v>550</v>
      </c>
      <c r="L25" s="1207">
        <f>IF(N25=1,'10. Verot'!$C$17/100,IF('2.1 Verkkopyynti'!N25=2,'10. Verot'!$D$17/100))</f>
        <v>1.3709677419354838</v>
      </c>
      <c r="M25" s="837"/>
      <c r="N25" s="1452">
        <v>1</v>
      </c>
      <c r="O25" s="319"/>
      <c r="P25" s="821"/>
      <c r="Q25" s="319"/>
      <c r="R25" s="2" t="s">
        <v>550</v>
      </c>
      <c r="S25" s="1207">
        <f>IF(U25=1,'10. Verot'!$C$17/100,IF('2.1 Verkkopyynti'!U25=2,'10. Verot'!$D$17/100))</f>
        <v>1.3709677419354838</v>
      </c>
      <c r="T25" s="837"/>
      <c r="U25" s="1446">
        <v>1</v>
      </c>
      <c r="V25" s="319"/>
      <c r="W25" s="821"/>
      <c r="X25" s="319"/>
      <c r="Y25" s="2" t="s">
        <v>550</v>
      </c>
      <c r="Z25" s="1207">
        <f>IF(AB25=1,'10. Verot'!$C$17/100,IF('2.1 Verkkopyynti'!AB25=2,'10. Verot'!$D$17/100))</f>
        <v>1.3709677419354838</v>
      </c>
      <c r="AA25" s="837"/>
      <c r="AB25" s="1446">
        <v>1</v>
      </c>
      <c r="AD25" s="358"/>
    </row>
    <row r="26" spans="2:30" ht="13.5" thickBot="1" x14ac:dyDescent="0.25">
      <c r="B26" s="358"/>
      <c r="D26" s="12" t="s">
        <v>200</v>
      </c>
      <c r="E26" s="422">
        <f>IF(G6=0,0,E19*E18+E21*E23)</f>
        <v>0</v>
      </c>
      <c r="F26" s="838"/>
      <c r="G26" s="712"/>
      <c r="H26" s="319"/>
      <c r="I26" s="821"/>
      <c r="J26" s="319"/>
      <c r="K26" s="12" t="s">
        <v>200</v>
      </c>
      <c r="L26" s="422">
        <f>IF(N6=0,0,L19*L18+L21*L23)</f>
        <v>0</v>
      </c>
      <c r="M26" s="838"/>
      <c r="N26" s="712"/>
      <c r="O26" s="319"/>
      <c r="P26" s="821"/>
      <c r="Q26" s="319"/>
      <c r="R26" s="12" t="s">
        <v>200</v>
      </c>
      <c r="S26" s="422">
        <f>IF(U6=0,0,S19*S18+S21*S23)</f>
        <v>0</v>
      </c>
      <c r="T26" s="838"/>
      <c r="U26" s="712"/>
      <c r="V26" s="319"/>
      <c r="W26" s="821"/>
      <c r="X26" s="319"/>
      <c r="Y26" s="12" t="s">
        <v>200</v>
      </c>
      <c r="Z26" s="422">
        <f>IF(AB6=0,0,Z19*Z18+Z21*Z23)</f>
        <v>0</v>
      </c>
      <c r="AA26" s="838"/>
      <c r="AB26" s="712"/>
      <c r="AD26" s="358"/>
    </row>
    <row r="27" spans="2:30" ht="13.5" thickBot="1" x14ac:dyDescent="0.25">
      <c r="B27" s="358"/>
      <c r="D27" s="2" t="s">
        <v>27</v>
      </c>
      <c r="E27" s="423">
        <f>IF(G6=0,0,(E26/100)*E24*E25)</f>
        <v>0</v>
      </c>
      <c r="F27" s="838"/>
      <c r="G27" s="712"/>
      <c r="H27" s="319"/>
      <c r="I27" s="821"/>
      <c r="J27" s="319"/>
      <c r="K27" s="12" t="s">
        <v>27</v>
      </c>
      <c r="L27" s="423">
        <f>IF(N6=0,0,(L26/100)*L24*L25)</f>
        <v>0</v>
      </c>
      <c r="M27" s="838"/>
      <c r="N27" s="712"/>
      <c r="O27" s="319"/>
      <c r="P27" s="821"/>
      <c r="Q27" s="319"/>
      <c r="R27" s="12" t="s">
        <v>27</v>
      </c>
      <c r="S27" s="423">
        <f>IF(U6=0,0,(S26/100)*S24*S25)</f>
        <v>0</v>
      </c>
      <c r="T27" s="838"/>
      <c r="U27" s="712"/>
      <c r="V27" s="319"/>
      <c r="W27" s="821"/>
      <c r="X27" s="319"/>
      <c r="Y27" s="12" t="s">
        <v>27</v>
      </c>
      <c r="Z27" s="423">
        <f>IF(AB6=0,0,(Z26/100)*Z24*Z25)</f>
        <v>0</v>
      </c>
      <c r="AA27" s="838"/>
      <c r="AB27" s="712"/>
      <c r="AD27" s="358"/>
    </row>
    <row r="28" spans="2:30" ht="13.5" thickBot="1" x14ac:dyDescent="0.25">
      <c r="B28" s="358"/>
      <c r="D28" s="12" t="s">
        <v>409</v>
      </c>
      <c r="E28" s="423">
        <f>IF(G6=0,0,E18*E20*G20+E23*E22*G22)</f>
        <v>0</v>
      </c>
      <c r="F28" s="838"/>
      <c r="G28" s="712"/>
      <c r="H28" s="319"/>
      <c r="I28" s="821"/>
      <c r="J28" s="319"/>
      <c r="K28" s="12" t="s">
        <v>409</v>
      </c>
      <c r="L28" s="423">
        <f>IF(N6=0,0,L18*L20*N20+L23*L22*N22)</f>
        <v>0</v>
      </c>
      <c r="M28" s="838"/>
      <c r="N28" s="712"/>
      <c r="O28" s="319"/>
      <c r="P28" s="821"/>
      <c r="Q28" s="319"/>
      <c r="R28" s="12" t="s">
        <v>409</v>
      </c>
      <c r="S28" s="423">
        <f>IF(U6=0,0,S18*S20*U20+S23*S22*U22)</f>
        <v>0</v>
      </c>
      <c r="T28" s="838"/>
      <c r="U28" s="712"/>
      <c r="V28" s="319"/>
      <c r="W28" s="821"/>
      <c r="X28" s="319"/>
      <c r="Y28" s="12" t="s">
        <v>409</v>
      </c>
      <c r="Z28" s="423">
        <f>IF(AB6=0,0,Z18*Z20*AB20+Z23*Z22*AB22)</f>
        <v>0</v>
      </c>
      <c r="AA28" s="838"/>
      <c r="AB28" s="712"/>
      <c r="AD28" s="358"/>
    </row>
    <row r="29" spans="2:30" ht="13.5" thickBot="1" x14ac:dyDescent="0.25">
      <c r="B29" s="358"/>
      <c r="D29" s="12" t="s">
        <v>201</v>
      </c>
      <c r="E29" s="427">
        <f>IF(G6=0,0,E28*'11. Työtunnit'!$C$7)</f>
        <v>0</v>
      </c>
      <c r="F29" s="838"/>
      <c r="G29" s="712"/>
      <c r="H29" s="319"/>
      <c r="I29" s="821"/>
      <c r="J29" s="319"/>
      <c r="K29" s="92" t="s">
        <v>201</v>
      </c>
      <c r="L29" s="427">
        <f>IF(N6=0,0,L28*'11. Työtunnit'!$C$7)</f>
        <v>0</v>
      </c>
      <c r="M29" s="839"/>
      <c r="N29" s="840"/>
      <c r="O29" s="319"/>
      <c r="P29" s="821"/>
      <c r="Q29" s="319"/>
      <c r="R29" s="92" t="s">
        <v>201</v>
      </c>
      <c r="S29" s="427">
        <f>IF(U6=0,0,S28*'11. Työtunnit'!$C$7)</f>
        <v>0</v>
      </c>
      <c r="T29" s="839"/>
      <c r="U29" s="840"/>
      <c r="V29" s="319"/>
      <c r="W29" s="821"/>
      <c r="X29" s="319"/>
      <c r="Y29" s="92" t="s">
        <v>201</v>
      </c>
      <c r="Z29" s="427">
        <f>IF(AB6=0,0,Z28*'11. Työtunnit'!$C$7)</f>
        <v>0</v>
      </c>
      <c r="AA29" s="839"/>
      <c r="AB29" s="840"/>
      <c r="AD29" s="358"/>
    </row>
    <row r="30" spans="2:30" ht="13.5" thickBot="1" x14ac:dyDescent="0.25">
      <c r="B30" s="358"/>
      <c r="D30" s="5" t="s">
        <v>14</v>
      </c>
      <c r="E30" s="833"/>
      <c r="F30" s="833"/>
      <c r="G30" s="834"/>
      <c r="H30" s="319"/>
      <c r="I30" s="821"/>
      <c r="J30" s="319"/>
      <c r="K30" s="57" t="s">
        <v>14</v>
      </c>
      <c r="L30" s="835" t="s">
        <v>1</v>
      </c>
      <c r="M30" s="838"/>
      <c r="N30" s="712"/>
      <c r="O30" s="319"/>
      <c r="P30" s="821"/>
      <c r="Q30" s="319"/>
      <c r="R30" s="5" t="s">
        <v>14</v>
      </c>
      <c r="S30" s="835"/>
      <c r="T30" s="838"/>
      <c r="U30" s="712"/>
      <c r="V30" s="319"/>
      <c r="W30" s="821"/>
      <c r="X30" s="319"/>
      <c r="Y30" s="5" t="s">
        <v>14</v>
      </c>
      <c r="Z30" s="835" t="s">
        <v>1</v>
      </c>
      <c r="AA30" s="838"/>
      <c r="AB30" s="712"/>
      <c r="AD30" s="358"/>
    </row>
    <row r="31" spans="2:30" ht="13.5" thickBot="1" x14ac:dyDescent="0.25">
      <c r="B31" s="358"/>
      <c r="D31" s="12" t="s">
        <v>18</v>
      </c>
      <c r="E31" s="845">
        <v>0</v>
      </c>
      <c r="F31" s="267"/>
      <c r="G31" s="357" t="s">
        <v>48</v>
      </c>
      <c r="H31" s="319"/>
      <c r="I31" s="821"/>
      <c r="J31" s="319"/>
      <c r="K31" s="12" t="s">
        <v>18</v>
      </c>
      <c r="L31" s="845">
        <v>0</v>
      </c>
      <c r="M31" s="267"/>
      <c r="N31" s="357" t="s">
        <v>48</v>
      </c>
      <c r="O31" s="319"/>
      <c r="P31" s="821"/>
      <c r="Q31" s="319"/>
      <c r="R31" s="12" t="s">
        <v>18</v>
      </c>
      <c r="S31" s="845">
        <v>0</v>
      </c>
      <c r="T31" s="267"/>
      <c r="U31" s="357" t="s">
        <v>48</v>
      </c>
      <c r="V31" s="319"/>
      <c r="W31" s="821"/>
      <c r="X31" s="319"/>
      <c r="Y31" s="12" t="s">
        <v>18</v>
      </c>
      <c r="Z31" s="845">
        <v>0</v>
      </c>
      <c r="AA31" s="267"/>
      <c r="AB31" s="357" t="s">
        <v>48</v>
      </c>
      <c r="AD31" s="358"/>
    </row>
    <row r="32" spans="2:30" ht="13.5" thickBot="1" x14ac:dyDescent="0.25">
      <c r="B32" s="358"/>
      <c r="D32" s="12" t="s">
        <v>450</v>
      </c>
      <c r="E32" s="905">
        <v>0</v>
      </c>
      <c r="F32" s="836"/>
      <c r="G32" s="1445">
        <v>1</v>
      </c>
      <c r="H32" s="319"/>
      <c r="I32" s="821"/>
      <c r="J32" s="319"/>
      <c r="K32" s="12" t="s">
        <v>450</v>
      </c>
      <c r="L32" s="905">
        <v>0</v>
      </c>
      <c r="M32" s="836"/>
      <c r="N32" s="1445">
        <v>1</v>
      </c>
      <c r="O32" s="319"/>
      <c r="P32" s="821"/>
      <c r="Q32" s="319"/>
      <c r="R32" s="12" t="s">
        <v>450</v>
      </c>
      <c r="S32" s="905">
        <v>0</v>
      </c>
      <c r="T32" s="836"/>
      <c r="U32" s="1445">
        <v>1</v>
      </c>
      <c r="V32" s="319"/>
      <c r="W32" s="821"/>
      <c r="X32" s="319"/>
      <c r="Y32" s="12" t="s">
        <v>450</v>
      </c>
      <c r="Z32" s="905">
        <v>0</v>
      </c>
      <c r="AA32" s="836"/>
      <c r="AB32" s="1445">
        <v>1</v>
      </c>
      <c r="AD32" s="358"/>
    </row>
    <row r="33" spans="2:30" ht="13.5" thickBot="1" x14ac:dyDescent="0.25">
      <c r="B33" s="358"/>
      <c r="D33" s="12" t="s">
        <v>205</v>
      </c>
      <c r="E33" s="845">
        <v>0</v>
      </c>
      <c r="F33" s="842"/>
      <c r="G33" s="1363" t="s">
        <v>439</v>
      </c>
      <c r="H33" s="319"/>
      <c r="I33" s="821"/>
      <c r="J33" s="319"/>
      <c r="K33" s="12" t="s">
        <v>205</v>
      </c>
      <c r="L33" s="845">
        <v>0</v>
      </c>
      <c r="M33" s="842"/>
      <c r="N33" s="1363" t="s">
        <v>439</v>
      </c>
      <c r="O33" s="319"/>
      <c r="P33" s="821"/>
      <c r="Q33" s="319"/>
      <c r="R33" s="12" t="s">
        <v>205</v>
      </c>
      <c r="S33" s="845">
        <v>0</v>
      </c>
      <c r="T33" s="842"/>
      <c r="U33" s="1363" t="s">
        <v>439</v>
      </c>
      <c r="V33" s="319"/>
      <c r="W33" s="821"/>
      <c r="X33" s="319"/>
      <c r="Y33" s="12" t="s">
        <v>205</v>
      </c>
      <c r="Z33" s="845">
        <v>0</v>
      </c>
      <c r="AA33" s="842"/>
      <c r="AB33" s="1363" t="s">
        <v>439</v>
      </c>
      <c r="AD33" s="358"/>
    </row>
    <row r="34" spans="2:30" ht="13.5" thickBot="1" x14ac:dyDescent="0.25">
      <c r="B34" s="358"/>
      <c r="D34" s="2" t="s">
        <v>549</v>
      </c>
      <c r="E34" s="1207">
        <f>IF(G34=1,'10. Verot'!$C$18/100,IF(G34=2,'10. Verot'!$E$18/100))</f>
        <v>0.72056774193548379</v>
      </c>
      <c r="F34" s="837"/>
      <c r="G34" s="843">
        <v>1</v>
      </c>
      <c r="H34" s="319"/>
      <c r="I34" s="821"/>
      <c r="J34" s="319"/>
      <c r="K34" s="2" t="s">
        <v>549</v>
      </c>
      <c r="L34" s="1207">
        <f>IF(N34=1,'10. Verot'!$C$18/100,IF(N34=2,'10. Verot'!$E$18/100))</f>
        <v>0.72056774193548379</v>
      </c>
      <c r="M34" s="837"/>
      <c r="N34" s="843">
        <v>1</v>
      </c>
      <c r="O34" s="319"/>
      <c r="P34" s="821"/>
      <c r="Q34" s="319"/>
      <c r="R34" s="2" t="s">
        <v>549</v>
      </c>
      <c r="S34" s="1207">
        <f>IF(U34=1,'10. Verot'!$C$18/100,IF(U34=2,'10. Verot'!$E$18/100))</f>
        <v>0.72056774193548379</v>
      </c>
      <c r="T34" s="837"/>
      <c r="U34" s="843">
        <v>1</v>
      </c>
      <c r="V34" s="319"/>
      <c r="W34" s="821"/>
      <c r="X34" s="319"/>
      <c r="Y34" s="2" t="s">
        <v>549</v>
      </c>
      <c r="Z34" s="1207">
        <f>IF(AB34=1,'10. Verot'!$C$18/100,IF(AB34=2,'10. Verot'!$E$18/100))</f>
        <v>0.72056774193548379</v>
      </c>
      <c r="AA34" s="837"/>
      <c r="AB34" s="843">
        <v>1</v>
      </c>
      <c r="AD34" s="358"/>
    </row>
    <row r="35" spans="2:30" ht="13.5" thickBot="1" x14ac:dyDescent="0.25">
      <c r="B35" s="358"/>
      <c r="D35" s="12" t="s">
        <v>204</v>
      </c>
      <c r="E35" s="423">
        <f>IF(G6=0,0,E31*E33*E34)</f>
        <v>0</v>
      </c>
      <c r="F35" s="838"/>
      <c r="G35" s="712"/>
      <c r="H35" s="319"/>
      <c r="I35" s="821"/>
      <c r="J35" s="319"/>
      <c r="K35" s="12" t="s">
        <v>204</v>
      </c>
      <c r="L35" s="423">
        <f>IF(N6=0,0,L31*L33*L34)</f>
        <v>0</v>
      </c>
      <c r="M35" s="838"/>
      <c r="N35" s="712"/>
      <c r="O35" s="319"/>
      <c r="P35" s="821"/>
      <c r="Q35" s="319"/>
      <c r="R35" s="12" t="s">
        <v>204</v>
      </c>
      <c r="S35" s="423">
        <f>IF(U6=0,0,S31*S33*S34)</f>
        <v>0</v>
      </c>
      <c r="T35" s="838"/>
      <c r="U35" s="712"/>
      <c r="V35" s="319"/>
      <c r="W35" s="821"/>
      <c r="X35" s="319"/>
      <c r="Y35" s="12" t="s">
        <v>204</v>
      </c>
      <c r="Z35" s="423">
        <f>IF(AB6=0,0,Z31*Z33*Z34)</f>
        <v>0</v>
      </c>
      <c r="AA35" s="838"/>
      <c r="AB35" s="712"/>
      <c r="AD35" s="358"/>
    </row>
    <row r="36" spans="2:30" ht="13.5" thickBot="1" x14ac:dyDescent="0.25">
      <c r="B36" s="358"/>
      <c r="D36" s="12" t="s">
        <v>28</v>
      </c>
      <c r="E36" s="422">
        <f>IF(G6=0,0,E32*E31*G32)</f>
        <v>0</v>
      </c>
      <c r="F36" s="838"/>
      <c r="G36" s="712"/>
      <c r="H36" s="319"/>
      <c r="I36" s="821"/>
      <c r="J36" s="319"/>
      <c r="K36" s="12" t="s">
        <v>28</v>
      </c>
      <c r="L36" s="422">
        <f>IF(N6=0,0,L32*L31*N32)</f>
        <v>0</v>
      </c>
      <c r="M36" s="838"/>
      <c r="N36" s="712"/>
      <c r="O36" s="319"/>
      <c r="P36" s="821"/>
      <c r="Q36" s="319"/>
      <c r="R36" s="12" t="s">
        <v>28</v>
      </c>
      <c r="S36" s="422">
        <f>IF(U6=0,0,S32*S31*U32)</f>
        <v>0</v>
      </c>
      <c r="T36" s="838"/>
      <c r="U36" s="712"/>
      <c r="V36" s="319"/>
      <c r="W36" s="821"/>
      <c r="X36" s="319"/>
      <c r="Y36" s="12" t="s">
        <v>28</v>
      </c>
      <c r="Z36" s="422">
        <f>IF(AB6=0,0,Z32*Z31*AB32)</f>
        <v>0</v>
      </c>
      <c r="AA36" s="838"/>
      <c r="AB36" s="712"/>
      <c r="AD36" s="358"/>
    </row>
    <row r="37" spans="2:30" ht="13.5" thickBot="1" x14ac:dyDescent="0.25">
      <c r="B37" s="358"/>
      <c r="D37" s="104" t="s">
        <v>202</v>
      </c>
      <c r="E37" s="422">
        <f>IF(G6=0,0,E36*'11. Työtunnit'!$C$7)</f>
        <v>0</v>
      </c>
      <c r="F37" s="839"/>
      <c r="G37" s="840"/>
      <c r="H37" s="319"/>
      <c r="I37" s="821"/>
      <c r="J37" s="319"/>
      <c r="K37" s="104" t="s">
        <v>202</v>
      </c>
      <c r="L37" s="844">
        <f>IF(N6=0,0,L36*'11. Työtunnit'!$C$7)</f>
        <v>0</v>
      </c>
      <c r="M37" s="839"/>
      <c r="N37" s="840"/>
      <c r="O37" s="319"/>
      <c r="P37" s="821"/>
      <c r="Q37" s="319"/>
      <c r="R37" s="104" t="s">
        <v>202</v>
      </c>
      <c r="S37" s="844">
        <f>IF(U6=0,0,S36*'11. Työtunnit'!$C$7)</f>
        <v>0</v>
      </c>
      <c r="T37" s="839"/>
      <c r="U37" s="840"/>
      <c r="V37" s="319"/>
      <c r="W37" s="821"/>
      <c r="X37" s="319"/>
      <c r="Y37" s="104" t="s">
        <v>202</v>
      </c>
      <c r="Z37" s="844">
        <f>IF(AB6=0,0,Z36*'11. Työtunnit'!C7)</f>
        <v>0</v>
      </c>
      <c r="AA37" s="839"/>
      <c r="AB37" s="840"/>
      <c r="AD37" s="358"/>
    </row>
    <row r="38" spans="2:30" ht="13.5" thickBot="1" x14ac:dyDescent="0.25">
      <c r="B38" s="358"/>
      <c r="C38" s="162"/>
      <c r="D38" s="57" t="s">
        <v>17</v>
      </c>
      <c r="E38" s="838"/>
      <c r="F38" s="838"/>
      <c r="G38" s="712"/>
      <c r="H38" s="319"/>
      <c r="I38" s="821"/>
      <c r="J38" s="319"/>
      <c r="K38" s="57" t="s">
        <v>17</v>
      </c>
      <c r="L38" s="835"/>
      <c r="M38" s="838"/>
      <c r="N38" s="712"/>
      <c r="O38" s="319"/>
      <c r="P38" s="821">
        <v>1</v>
      </c>
      <c r="Q38" s="319"/>
      <c r="R38" s="57" t="s">
        <v>17</v>
      </c>
      <c r="S38" s="835"/>
      <c r="T38" s="838"/>
      <c r="U38" s="712"/>
      <c r="V38" s="319"/>
      <c r="W38" s="821"/>
      <c r="X38" s="319"/>
      <c r="Y38" s="57" t="s">
        <v>17</v>
      </c>
      <c r="Z38" s="835"/>
      <c r="AA38" s="838"/>
      <c r="AB38" s="712"/>
      <c r="AD38" s="358"/>
    </row>
    <row r="39" spans="2:30" ht="13.5" thickBot="1" x14ac:dyDescent="0.25">
      <c r="B39" s="358"/>
      <c r="D39" s="12" t="s">
        <v>207</v>
      </c>
      <c r="E39" s="845">
        <v>0</v>
      </c>
      <c r="F39" s="267"/>
      <c r="G39" s="357" t="s">
        <v>48</v>
      </c>
      <c r="H39" s="319"/>
      <c r="I39" s="821"/>
      <c r="J39" s="319"/>
      <c r="K39" s="12" t="s">
        <v>207</v>
      </c>
      <c r="L39" s="845">
        <v>0</v>
      </c>
      <c r="M39" s="267"/>
      <c r="N39" s="357" t="s">
        <v>48</v>
      </c>
      <c r="O39" s="319"/>
      <c r="P39" s="821"/>
      <c r="Q39" s="319"/>
      <c r="R39" s="12" t="s">
        <v>207</v>
      </c>
      <c r="S39" s="845">
        <v>0</v>
      </c>
      <c r="T39" s="267"/>
      <c r="U39" s="357" t="s">
        <v>48</v>
      </c>
      <c r="V39" s="319"/>
      <c r="W39" s="821"/>
      <c r="X39" s="319"/>
      <c r="Y39" s="12" t="s">
        <v>207</v>
      </c>
      <c r="Z39" s="845">
        <v>0</v>
      </c>
      <c r="AA39" s="267"/>
      <c r="AB39" s="357" t="s">
        <v>48</v>
      </c>
      <c r="AD39" s="358"/>
    </row>
    <row r="40" spans="2:30" ht="13.5" thickBot="1" x14ac:dyDescent="0.25">
      <c r="B40" s="358"/>
      <c r="D40" s="12" t="s">
        <v>451</v>
      </c>
      <c r="E40" s="841">
        <v>0</v>
      </c>
      <c r="F40" s="846"/>
      <c r="G40" s="1445">
        <v>1</v>
      </c>
      <c r="H40" s="319"/>
      <c r="I40" s="821"/>
      <c r="J40" s="319"/>
      <c r="K40" s="12" t="s">
        <v>451</v>
      </c>
      <c r="L40" s="841">
        <v>0</v>
      </c>
      <c r="M40" s="846"/>
      <c r="N40" s="1445">
        <v>1</v>
      </c>
      <c r="O40" s="319"/>
      <c r="P40" s="821"/>
      <c r="Q40" s="319"/>
      <c r="R40" s="12" t="s">
        <v>451</v>
      </c>
      <c r="S40" s="841">
        <v>0</v>
      </c>
      <c r="T40" s="846"/>
      <c r="U40" s="1445">
        <v>1</v>
      </c>
      <c r="V40" s="319"/>
      <c r="W40" s="821"/>
      <c r="X40" s="319"/>
      <c r="Y40" s="12" t="s">
        <v>451</v>
      </c>
      <c r="Z40" s="841">
        <v>0</v>
      </c>
      <c r="AA40" s="846"/>
      <c r="AB40" s="1445">
        <v>1</v>
      </c>
      <c r="AD40" s="358"/>
    </row>
    <row r="41" spans="2:30" ht="13.5" thickBot="1" x14ac:dyDescent="0.25">
      <c r="B41" s="358"/>
      <c r="D41" s="12" t="s">
        <v>19</v>
      </c>
      <c r="E41" s="845">
        <v>0</v>
      </c>
      <c r="F41" s="846"/>
      <c r="G41" s="847"/>
      <c r="H41" s="319"/>
      <c r="I41" s="821"/>
      <c r="J41" s="319"/>
      <c r="K41" s="12" t="s">
        <v>19</v>
      </c>
      <c r="L41" s="845">
        <v>0</v>
      </c>
      <c r="M41" s="846"/>
      <c r="N41" s="847"/>
      <c r="O41" s="319"/>
      <c r="P41" s="821"/>
      <c r="Q41" s="319"/>
      <c r="R41" s="12" t="s">
        <v>19</v>
      </c>
      <c r="S41" s="845">
        <v>0</v>
      </c>
      <c r="T41" s="846"/>
      <c r="U41" s="847"/>
      <c r="V41" s="319"/>
      <c r="W41" s="821"/>
      <c r="X41" s="319"/>
      <c r="Y41" s="12" t="s">
        <v>19</v>
      </c>
      <c r="Z41" s="845">
        <v>0</v>
      </c>
      <c r="AA41" s="846"/>
      <c r="AB41" s="847"/>
      <c r="AD41" s="358"/>
    </row>
    <row r="42" spans="2:30" ht="13.5" thickBot="1" x14ac:dyDescent="0.25">
      <c r="B42" s="358"/>
      <c r="D42" s="2" t="s">
        <v>551</v>
      </c>
      <c r="E42" s="1207">
        <f>'10. Verot'!$C$17/100</f>
        <v>1.3709677419354838</v>
      </c>
      <c r="F42" s="848"/>
      <c r="G42" s="849"/>
      <c r="H42" s="319"/>
      <c r="I42" s="821"/>
      <c r="J42" s="319"/>
      <c r="K42" s="2" t="s">
        <v>551</v>
      </c>
      <c r="L42" s="1207">
        <f>'10. Verot'!$C$17/100</f>
        <v>1.3709677419354838</v>
      </c>
      <c r="M42" s="848"/>
      <c r="N42" s="849"/>
      <c r="O42" s="319"/>
      <c r="P42" s="821"/>
      <c r="Q42" s="319"/>
      <c r="R42" s="2" t="s">
        <v>551</v>
      </c>
      <c r="S42" s="1207">
        <f>'10. Verot'!$C$17/100</f>
        <v>1.3709677419354838</v>
      </c>
      <c r="T42" s="848"/>
      <c r="U42" s="849"/>
      <c r="V42" s="319"/>
      <c r="W42" s="821"/>
      <c r="X42" s="319"/>
      <c r="Y42" s="2" t="s">
        <v>551</v>
      </c>
      <c r="Z42" s="1207">
        <f>'10. Verot'!$C$17/100</f>
        <v>1.3709677419354838</v>
      </c>
      <c r="AA42" s="848"/>
      <c r="AB42" s="849"/>
      <c r="AD42" s="358"/>
    </row>
    <row r="43" spans="2:30" ht="13.5" thickBot="1" x14ac:dyDescent="0.25">
      <c r="B43" s="358"/>
      <c r="D43" s="12" t="s">
        <v>203</v>
      </c>
      <c r="E43" s="423">
        <f>IF(G6=0,0,E39*E41*E42)</f>
        <v>0</v>
      </c>
      <c r="F43" s="838"/>
      <c r="G43" s="712"/>
      <c r="H43" s="319"/>
      <c r="I43" s="821"/>
      <c r="J43" s="319"/>
      <c r="K43" s="12" t="s">
        <v>203</v>
      </c>
      <c r="L43" s="423">
        <f>IF(N6=0,0,L39*L41*L42)</f>
        <v>0</v>
      </c>
      <c r="M43" s="838"/>
      <c r="N43" s="712"/>
      <c r="O43" s="319"/>
      <c r="P43" s="821"/>
      <c r="Q43" s="319"/>
      <c r="R43" s="12" t="s">
        <v>203</v>
      </c>
      <c r="S43" s="423">
        <f>IF(U6=0,0,S39*S41*S42)</f>
        <v>0</v>
      </c>
      <c r="T43" s="838"/>
      <c r="U43" s="712"/>
      <c r="V43" s="319"/>
      <c r="W43" s="821"/>
      <c r="X43" s="319"/>
      <c r="Y43" s="12" t="s">
        <v>203</v>
      </c>
      <c r="Z43" s="423">
        <f>IF(AB6=0,0,Z39*Z41*Z42)</f>
        <v>0</v>
      </c>
      <c r="AA43" s="838"/>
      <c r="AB43" s="712"/>
      <c r="AD43" s="358"/>
    </row>
    <row r="44" spans="2:30" ht="13.5" thickBot="1" x14ac:dyDescent="0.25">
      <c r="B44" s="358"/>
      <c r="D44" s="12" t="s">
        <v>206</v>
      </c>
      <c r="E44" s="423">
        <f>IF(G6=0,0,E40*E39*G40)</f>
        <v>0</v>
      </c>
      <c r="F44" s="838"/>
      <c r="G44" s="712"/>
      <c r="H44" s="319"/>
      <c r="I44" s="821"/>
      <c r="J44" s="319"/>
      <c r="K44" s="12" t="s">
        <v>206</v>
      </c>
      <c r="L44" s="423">
        <f>IF(N6=0,0,L40*L39*N40)</f>
        <v>0</v>
      </c>
      <c r="M44" s="838"/>
      <c r="N44" s="712"/>
      <c r="O44" s="319"/>
      <c r="P44" s="821"/>
      <c r="Q44" s="319"/>
      <c r="R44" s="12" t="s">
        <v>206</v>
      </c>
      <c r="S44" s="423">
        <f>IF(U6=0,0,S40*S39*U40)</f>
        <v>0</v>
      </c>
      <c r="T44" s="838"/>
      <c r="U44" s="712"/>
      <c r="V44" s="319"/>
      <c r="W44" s="821"/>
      <c r="X44" s="319"/>
      <c r="Y44" s="12" t="s">
        <v>206</v>
      </c>
      <c r="Z44" s="423">
        <f>IF(AB6=0,0,Z40*Z39*AB40)</f>
        <v>0</v>
      </c>
      <c r="AA44" s="838"/>
      <c r="AB44" s="712"/>
      <c r="AD44" s="358"/>
    </row>
    <row r="45" spans="2:30" ht="13.5" thickBot="1" x14ac:dyDescent="0.25">
      <c r="B45" s="358"/>
      <c r="D45" s="104" t="s">
        <v>530</v>
      </c>
      <c r="E45" s="423">
        <f>IF(G6=0,0,E44*'11. Työtunnit'!$C$7)</f>
        <v>0</v>
      </c>
      <c r="F45" s="839"/>
      <c r="G45" s="840"/>
      <c r="H45" s="319"/>
      <c r="I45" s="821"/>
      <c r="J45" s="319"/>
      <c r="K45" s="104" t="s">
        <v>530</v>
      </c>
      <c r="L45" s="423">
        <f>IF(N6=0,0,L44*'11. Työtunnit'!$C$7)</f>
        <v>0</v>
      </c>
      <c r="M45" s="839"/>
      <c r="N45" s="840"/>
      <c r="O45" s="319"/>
      <c r="P45" s="821"/>
      <c r="Q45" s="319"/>
      <c r="R45" s="104" t="s">
        <v>530</v>
      </c>
      <c r="S45" s="423">
        <f>IF(U6=0,0,S44*'11. Työtunnit'!$C$7)</f>
        <v>0</v>
      </c>
      <c r="T45" s="839"/>
      <c r="U45" s="840"/>
      <c r="V45" s="319"/>
      <c r="W45" s="821"/>
      <c r="X45" s="319"/>
      <c r="Y45" s="104" t="s">
        <v>530</v>
      </c>
      <c r="Z45" s="423">
        <f>IF(AB6=0,0,Z44*'11. Työtunnit'!$C$7)</f>
        <v>0</v>
      </c>
      <c r="AA45" s="839"/>
      <c r="AB45" s="840"/>
      <c r="AD45" s="358"/>
    </row>
    <row r="46" spans="2:30" ht="13.5" thickBot="1" x14ac:dyDescent="0.25">
      <c r="B46" s="358"/>
      <c r="D46" s="742"/>
      <c r="E46" s="257"/>
      <c r="F46" s="257"/>
      <c r="G46" s="257"/>
      <c r="H46" s="319"/>
      <c r="I46" s="821"/>
      <c r="J46" s="319"/>
      <c r="K46" s="319"/>
      <c r="L46" s="257"/>
      <c r="M46" s="257"/>
      <c r="N46" s="257"/>
      <c r="O46" s="319"/>
      <c r="P46" s="821"/>
      <c r="Q46" s="319"/>
      <c r="R46" s="319"/>
      <c r="S46" s="257"/>
      <c r="T46" s="257"/>
      <c r="U46" s="257"/>
      <c r="V46" s="319"/>
      <c r="W46" s="821"/>
      <c r="X46" s="319"/>
      <c r="Y46" s="319"/>
      <c r="Z46" s="257"/>
      <c r="AA46" s="257"/>
      <c r="AB46" s="257"/>
      <c r="AD46" s="358"/>
    </row>
    <row r="47" spans="2:30" ht="13.5" thickBot="1" x14ac:dyDescent="0.25">
      <c r="B47" s="358"/>
      <c r="D47" s="94" t="s">
        <v>175</v>
      </c>
      <c r="E47" s="850"/>
      <c r="F47" s="851"/>
      <c r="G47" s="852"/>
      <c r="H47" s="319"/>
      <c r="I47" s="821"/>
      <c r="J47" s="319"/>
      <c r="K47" s="94" t="s">
        <v>175</v>
      </c>
      <c r="L47" s="850"/>
      <c r="M47" s="851"/>
      <c r="N47" s="852"/>
      <c r="O47" s="319"/>
      <c r="P47" s="821"/>
      <c r="Q47" s="319"/>
      <c r="R47" s="94" t="s">
        <v>175</v>
      </c>
      <c r="S47" s="850"/>
      <c r="T47" s="851"/>
      <c r="U47" s="852"/>
      <c r="V47" s="319"/>
      <c r="W47" s="821"/>
      <c r="X47" s="319"/>
      <c r="Y47" s="94" t="s">
        <v>175</v>
      </c>
      <c r="Z47" s="850"/>
      <c r="AA47" s="851"/>
      <c r="AB47" s="852"/>
      <c r="AD47" s="358"/>
    </row>
    <row r="48" spans="2:30" ht="13.5" thickBot="1" x14ac:dyDescent="0.25">
      <c r="B48" s="358"/>
      <c r="D48" s="315" t="s">
        <v>174</v>
      </c>
      <c r="E48" s="1447">
        <v>0</v>
      </c>
      <c r="F48" s="853"/>
      <c r="G48" s="854"/>
      <c r="H48" s="319"/>
      <c r="I48" s="821"/>
      <c r="J48" s="319"/>
      <c r="K48" s="315" t="s">
        <v>174</v>
      </c>
      <c r="L48" s="1447">
        <v>0</v>
      </c>
      <c r="M48" s="853"/>
      <c r="N48" s="855"/>
      <c r="O48" s="319"/>
      <c r="P48" s="821"/>
      <c r="Q48" s="319"/>
      <c r="R48" s="315" t="s">
        <v>174</v>
      </c>
      <c r="S48" s="1447">
        <v>0</v>
      </c>
      <c r="T48" s="853"/>
      <c r="U48" s="855"/>
      <c r="V48" s="319"/>
      <c r="W48" s="821"/>
      <c r="X48" s="319"/>
      <c r="Y48" s="315" t="s">
        <v>174</v>
      </c>
      <c r="Z48" s="1447">
        <v>0</v>
      </c>
      <c r="AA48" s="853"/>
      <c r="AB48" s="855"/>
      <c r="AD48" s="358"/>
    </row>
    <row r="49" spans="2:30" ht="13.5" thickBot="1" x14ac:dyDescent="0.25">
      <c r="B49" s="358"/>
      <c r="D49" s="317" t="s">
        <v>208</v>
      </c>
      <c r="E49" s="418">
        <f>IF(G6=0,0,'3 Saalis'!D43/100*'2.1 Verkkopyynti'!E48)</f>
        <v>0</v>
      </c>
      <c r="F49" s="148"/>
      <c r="G49" s="856"/>
      <c r="H49" s="319"/>
      <c r="I49" s="821"/>
      <c r="J49" s="319"/>
      <c r="K49" s="317" t="s">
        <v>208</v>
      </c>
      <c r="L49" s="418">
        <f>IF(N6=0,0,'3 Saalis'!D65/100*L48)</f>
        <v>0</v>
      </c>
      <c r="M49" s="148"/>
      <c r="N49" s="149"/>
      <c r="O49" s="319"/>
      <c r="P49" s="821"/>
      <c r="Q49" s="319"/>
      <c r="R49" s="317" t="s">
        <v>208</v>
      </c>
      <c r="S49" s="418">
        <f>IF(U6=0,0,'3 Saalis'!D87/100*'2.1 Verkkopyynti'!S48)</f>
        <v>0</v>
      </c>
      <c r="T49" s="148"/>
      <c r="U49" s="149"/>
      <c r="V49" s="319"/>
      <c r="W49" s="821"/>
      <c r="X49" s="319"/>
      <c r="Y49" s="317" t="s">
        <v>208</v>
      </c>
      <c r="Z49" s="418">
        <f>IF(AB6=0,0,'3 Saalis'!D109/100*'2.1 Verkkopyynti'!Z48)</f>
        <v>0</v>
      </c>
      <c r="AA49" s="148"/>
      <c r="AB49" s="149"/>
      <c r="AD49" s="358"/>
    </row>
    <row r="50" spans="2:30" ht="13.5" thickBot="1" x14ac:dyDescent="0.25">
      <c r="B50" s="358"/>
      <c r="D50" s="317" t="s">
        <v>213</v>
      </c>
      <c r="E50" s="418">
        <f>IF(G6=0,0,E49*'11. Työtunnit'!$C$7)</f>
        <v>0</v>
      </c>
      <c r="F50" s="148"/>
      <c r="G50" s="1358" t="s">
        <v>626</v>
      </c>
      <c r="H50" s="319"/>
      <c r="I50" s="821"/>
      <c r="J50" s="319"/>
      <c r="K50" s="317" t="s">
        <v>213</v>
      </c>
      <c r="L50" s="418">
        <f>IF(N6=0,0,L49*'11. Työtunnit'!$C$7)</f>
        <v>0</v>
      </c>
      <c r="M50" s="148"/>
      <c r="N50" s="1358" t="s">
        <v>626</v>
      </c>
      <c r="O50" s="319"/>
      <c r="P50" s="821"/>
      <c r="Q50" s="319"/>
      <c r="R50" s="317" t="s">
        <v>213</v>
      </c>
      <c r="S50" s="418">
        <f>IF(U6=0,0,S49*'11. Työtunnit'!$C$7)</f>
        <v>0</v>
      </c>
      <c r="T50" s="148"/>
      <c r="U50" s="1358" t="s">
        <v>626</v>
      </c>
      <c r="V50" s="319"/>
      <c r="W50" s="821"/>
      <c r="X50" s="319"/>
      <c r="Y50" s="317" t="s">
        <v>213</v>
      </c>
      <c r="Z50" s="418">
        <f>IF(AB6=0,0,Z49*'11. Työtunnit'!$C$7)</f>
        <v>0</v>
      </c>
      <c r="AA50" s="148"/>
      <c r="AB50" s="1358" t="s">
        <v>626</v>
      </c>
      <c r="AD50" s="358"/>
    </row>
    <row r="51" spans="2:30" ht="13.5" thickBot="1" x14ac:dyDescent="0.25">
      <c r="B51" s="358"/>
      <c r="D51" s="104" t="s">
        <v>312</v>
      </c>
      <c r="E51" s="419">
        <f>IF(G6=0,0,(('3 Saalis'!D31-(('4 Myynti'!D31+'4 Myynti'!D40)*(IF('3 Saalis'!D9=0,0,'3 Saalis'!D31/'3 Saalis'!D9))))*'5 Kalan alkukäsittely satamassa'!$D$48)+(('3 Saalis'!D39-(('4 Myynti'!D151+'4 Myynti'!D155+'4 Myynti'!D156)*(IF('3 Saalis'!D17=0,0,'3 Saalis'!D39/'3 Saalis'!D17))))*'5 Kalan alkukäsittely satamassa'!$D$48)+(('3 Saalis'!D40-(('4 Myynti'!D165+'4 Myynti'!D169+'4 Myynti'!D170)*(IF('3 Saalis'!D18=0,0,'3 Saalis'!D40/'3 Saalis'!D18))))*'5 Kalan alkukäsittely satamassa'!$D$48)+(('3 Saalis'!D42-(('4 Myynti'!D189+'4 Myynti'!D193+'4 Myynti'!D194)*(IF('3 Saalis'!D20=0,0,'3 Saalis'!D42/'3 Saalis'!D20))))*'5 Kalan alkukäsittely satamassa'!$D$48)+('3 Saalis'!D43-'3 Saalis'!D31-'3 Saalis'!D39-'3 Saalis'!D40-'3 Saalis'!D41-'3 Saalis'!D42)*'5 Kalan alkukäsittely satamassa'!$D$48)</f>
        <v>0</v>
      </c>
      <c r="F51" s="92"/>
      <c r="G51" s="420">
        <f>IF(G6=0,0,E51*'5 Kalan alkukäsittely satamassa'!G46/1000)</f>
        <v>0</v>
      </c>
      <c r="H51" s="319"/>
      <c r="I51" s="821"/>
      <c r="J51" s="319"/>
      <c r="K51" s="104" t="s">
        <v>312</v>
      </c>
      <c r="L51" s="419">
        <f>IF(N6=0,0,(('3 Saalis'!D53-(('4 Myynti'!D31+'4 Myynti'!D40)*(IF('3 Saalis'!D9=0,0,'3 Saalis'!D53/'3 Saalis'!D9))))*'5 Kalan alkukäsittely satamassa'!$D$48)+(('3 Saalis'!D61-(('4 Myynti'!D151+'4 Myynti'!D155+'4 Myynti'!D156)*(IF('3 Saalis'!D17=0,0,'3 Saalis'!D61/'3 Saalis'!D17))))*'5 Kalan alkukäsittely satamassa'!$D$48)+(('3 Saalis'!D62-(('4 Myynti'!D165+'4 Myynti'!D169+'4 Myynti'!D170)*(IF('3 Saalis'!D18=0,0,'3 Saalis'!D62/'3 Saalis'!D18))))*'5 Kalan alkukäsittely satamassa'!$D$48)+(('3 Saalis'!D64-(('4 Myynti'!D189+'4 Myynti'!D193+'4 Myynti'!D194)*(IF('3 Saalis'!D20=0,0,'3 Saalis'!D64/'3 Saalis'!D20))))*'5 Kalan alkukäsittely satamassa'!$D$48)+('3 Saalis'!D65-'3 Saalis'!D53-'3 Saalis'!D61-'3 Saalis'!D62-'3 Saalis'!D63-'3 Saalis'!D64)*'5 Kalan alkukäsittely satamassa'!$D$48)</f>
        <v>0</v>
      </c>
      <c r="M51" s="92"/>
      <c r="N51" s="420">
        <f>IF(N6=0,0,L51*'5 Kalan alkukäsittely satamassa'!G46/1000)</f>
        <v>0</v>
      </c>
      <c r="O51" s="319"/>
      <c r="P51" s="821"/>
      <c r="Q51" s="319"/>
      <c r="R51" s="104" t="s">
        <v>312</v>
      </c>
      <c r="S51" s="419">
        <f>IF(U6=0,0,(('3 Saalis'!D75-(('4 Myynti'!D31+'4 Myynti'!D40)*(IF('3 Saalis'!D9=0,0,'3 Saalis'!D75/'3 Saalis'!D9))))*'5 Kalan alkukäsittely satamassa'!$D$48)+(('3 Saalis'!D83-(('4 Myynti'!D151+'4 Myynti'!D155+'4 Myynti'!D156)*(IF('3 Saalis'!D17=0,0,'3 Saalis'!D83/'3 Saalis'!D17))))*'5 Kalan alkukäsittely satamassa'!$D$48)+(('3 Saalis'!D84-(('4 Myynti'!D165+'4 Myynti'!D169+'4 Myynti'!D170)*(IF('3 Saalis'!D18=0,0,'3 Saalis'!D84/'3 Saalis'!D18))))*'5 Kalan alkukäsittely satamassa'!$D$48)+(('3 Saalis'!D86-(('4 Myynti'!D189+'4 Myynti'!D193+'4 Myynti'!D194)*(IF('3 Saalis'!D20=0,0,'3 Saalis'!D86/'3 Saalis'!D20))))*'5 Kalan alkukäsittely satamassa'!$D$48)+('3 Saalis'!D87-'3 Saalis'!D75-'3 Saalis'!D83-'3 Saalis'!D84-'3 Saalis'!D85-'3 Saalis'!D86)*'5 Kalan alkukäsittely satamassa'!$D$48)</f>
        <v>0</v>
      </c>
      <c r="T51" s="92"/>
      <c r="U51" s="420">
        <f>IF(U6=0,0,S51*'5 Kalan alkukäsittely satamassa'!G46/1000)</f>
        <v>0</v>
      </c>
      <c r="V51" s="319"/>
      <c r="W51" s="821"/>
      <c r="X51" s="319"/>
      <c r="Y51" s="104" t="s">
        <v>312</v>
      </c>
      <c r="Z51" s="419">
        <f>IF(AB6=0,0,(('3 Saalis'!D97-(('4 Myynti'!D31+'4 Myynti'!D40)*(IF('3 Saalis'!D9=0,0,'3 Saalis'!D97/'3 Saalis'!D9))))*'5 Kalan alkukäsittely satamassa'!$D$48)+(('3 Saalis'!D105-(('4 Myynti'!D151+'4 Myynti'!D155+'4 Myynti'!D156)*(IF('3 Saalis'!D17=0,0,'3 Saalis'!D105/'3 Saalis'!D17))))*'5 Kalan alkukäsittely satamassa'!$D$48)+(('3 Saalis'!D106-(('4 Myynti'!D165+'4 Myynti'!D169+'4 Myynti'!D170)*(IF('3 Saalis'!D18=0,0,'3 Saalis'!D106/'3 Saalis'!D18))))*'5 Kalan alkukäsittely satamassa'!$D$48)+(('3 Saalis'!D108-(('4 Myynti'!D189+'4 Myynti'!D193+'4 Myynti'!D194)*(IF('3 Saalis'!D20=0,0,'3 Saalis'!D108/'3 Saalis'!D20))))*'5 Kalan alkukäsittely satamassa'!$D$48)+('3 Saalis'!D109-'3 Saalis'!D97-'3 Saalis'!D105-'3 Saalis'!D106-'3 Saalis'!D107-'3 Saalis'!D108)*'5 Kalan alkukäsittely satamassa'!$D$48)</f>
        <v>0</v>
      </c>
      <c r="AA51" s="92"/>
      <c r="AB51" s="420">
        <f>IF(AB6=0,0,Z51*'5 Kalan alkukäsittely satamassa'!G46/1000)</f>
        <v>0</v>
      </c>
      <c r="AD51" s="358"/>
    </row>
    <row r="52" spans="2:30" ht="13.5" thickBot="1" x14ac:dyDescent="0.25">
      <c r="B52" s="358"/>
      <c r="D52" s="319"/>
      <c r="E52" s="319" t="s">
        <v>1</v>
      </c>
      <c r="F52" s="319"/>
      <c r="G52" s="319"/>
      <c r="H52" s="319"/>
      <c r="I52" s="821"/>
      <c r="J52" s="319"/>
      <c r="K52" s="319"/>
      <c r="L52" s="319"/>
      <c r="M52" s="319"/>
      <c r="N52" s="319"/>
      <c r="O52" s="319"/>
      <c r="P52" s="821"/>
      <c r="Q52" s="319"/>
      <c r="R52" s="319"/>
      <c r="S52" s="319"/>
      <c r="T52" s="319"/>
      <c r="U52" s="319"/>
      <c r="V52" s="319"/>
      <c r="W52" s="821"/>
      <c r="X52" s="319"/>
      <c r="Y52" s="319"/>
      <c r="Z52" s="319"/>
      <c r="AA52" s="319"/>
      <c r="AB52" s="319"/>
      <c r="AD52" s="358"/>
    </row>
    <row r="53" spans="2:30" ht="13.5" thickBot="1" x14ac:dyDescent="0.25">
      <c r="B53" s="358"/>
      <c r="D53" s="61" t="s">
        <v>338</v>
      </c>
      <c r="E53" s="352"/>
      <c r="F53" s="352"/>
      <c r="G53" s="745"/>
      <c r="H53" s="319"/>
      <c r="I53" s="821"/>
      <c r="J53" s="319"/>
      <c r="K53" s="61" t="s">
        <v>338</v>
      </c>
      <c r="L53" s="352"/>
      <c r="M53" s="352"/>
      <c r="N53" s="745"/>
      <c r="O53" s="319"/>
      <c r="P53" s="821"/>
      <c r="Q53" s="319"/>
      <c r="R53" s="61" t="s">
        <v>338</v>
      </c>
      <c r="S53" s="352"/>
      <c r="T53" s="352"/>
      <c r="U53" s="745"/>
      <c r="V53" s="319"/>
      <c r="W53" s="821"/>
      <c r="X53" s="319"/>
      <c r="Y53" s="61" t="s">
        <v>338</v>
      </c>
      <c r="Z53" s="352"/>
      <c r="AA53" s="352"/>
      <c r="AB53" s="745"/>
      <c r="AD53" s="358"/>
    </row>
    <row r="54" spans="2:30" ht="13.5" thickBot="1" x14ac:dyDescent="0.25">
      <c r="B54" s="358"/>
      <c r="D54" s="317" t="s">
        <v>199</v>
      </c>
      <c r="E54" s="1448">
        <v>0</v>
      </c>
      <c r="F54" s="251"/>
      <c r="G54" s="713" t="s">
        <v>48</v>
      </c>
      <c r="H54" s="319"/>
      <c r="I54" s="821"/>
      <c r="J54" s="319"/>
      <c r="K54" s="315" t="s">
        <v>199</v>
      </c>
      <c r="L54" s="845">
        <v>0</v>
      </c>
      <c r="M54" s="251"/>
      <c r="N54" s="713" t="s">
        <v>48</v>
      </c>
      <c r="O54" s="319"/>
      <c r="P54" s="821"/>
      <c r="Q54" s="319"/>
      <c r="R54" s="315" t="s">
        <v>199</v>
      </c>
      <c r="S54" s="845">
        <v>0</v>
      </c>
      <c r="T54" s="251"/>
      <c r="U54" s="713" t="s">
        <v>48</v>
      </c>
      <c r="V54" s="319"/>
      <c r="W54" s="821"/>
      <c r="X54" s="319"/>
      <c r="Y54" s="315" t="s">
        <v>199</v>
      </c>
      <c r="Z54" s="845">
        <v>0</v>
      </c>
      <c r="AA54" s="251"/>
      <c r="AB54" s="713" t="s">
        <v>48</v>
      </c>
      <c r="AD54" s="358"/>
    </row>
    <row r="55" spans="2:30" ht="13.5" thickBot="1" x14ac:dyDescent="0.25">
      <c r="B55" s="358"/>
      <c r="D55" s="317" t="s">
        <v>193</v>
      </c>
      <c r="E55" s="1449">
        <v>0</v>
      </c>
      <c r="F55" s="858"/>
      <c r="G55" s="1445">
        <v>1</v>
      </c>
      <c r="H55" s="319"/>
      <c r="I55" s="821"/>
      <c r="J55" s="319"/>
      <c r="K55" s="317" t="s">
        <v>193</v>
      </c>
      <c r="L55" s="841">
        <v>0</v>
      </c>
      <c r="M55" s="858"/>
      <c r="N55" s="1445">
        <v>1</v>
      </c>
      <c r="O55" s="319"/>
      <c r="P55" s="821"/>
      <c r="Q55" s="319"/>
      <c r="R55" s="317" t="s">
        <v>193</v>
      </c>
      <c r="S55" s="841">
        <v>0</v>
      </c>
      <c r="T55" s="858"/>
      <c r="U55" s="1445">
        <v>1</v>
      </c>
      <c r="V55" s="319"/>
      <c r="W55" s="821"/>
      <c r="X55" s="319"/>
      <c r="Y55" s="317" t="s">
        <v>193</v>
      </c>
      <c r="Z55" s="841">
        <v>0</v>
      </c>
      <c r="AA55" s="858"/>
      <c r="AB55" s="1445">
        <v>1</v>
      </c>
      <c r="AD55" s="358"/>
    </row>
    <row r="56" spans="2:30" ht="13.5" thickBot="1" x14ac:dyDescent="0.25">
      <c r="B56" s="358"/>
      <c r="D56" s="317" t="s">
        <v>192</v>
      </c>
      <c r="E56" s="845">
        <v>0</v>
      </c>
      <c r="F56" s="255"/>
      <c r="G56" s="256"/>
      <c r="H56" s="319"/>
      <c r="I56" s="821"/>
      <c r="J56" s="319"/>
      <c r="K56" s="317" t="s">
        <v>192</v>
      </c>
      <c r="L56" s="845">
        <v>0</v>
      </c>
      <c r="M56" s="255"/>
      <c r="N56" s="256"/>
      <c r="O56" s="319"/>
      <c r="P56" s="821"/>
      <c r="Q56" s="319"/>
      <c r="R56" s="317" t="s">
        <v>192</v>
      </c>
      <c r="S56" s="845">
        <v>0</v>
      </c>
      <c r="T56" s="255"/>
      <c r="U56" s="256"/>
      <c r="V56" s="319"/>
      <c r="W56" s="821"/>
      <c r="X56" s="319"/>
      <c r="Y56" s="317" t="s">
        <v>192</v>
      </c>
      <c r="Z56" s="845">
        <v>0</v>
      </c>
      <c r="AA56" s="255"/>
      <c r="AB56" s="256"/>
      <c r="AD56" s="358"/>
    </row>
    <row r="57" spans="2:30" ht="13.5" thickBot="1" x14ac:dyDescent="0.25">
      <c r="B57" s="358"/>
      <c r="D57" s="12" t="s">
        <v>203</v>
      </c>
      <c r="E57" s="618">
        <f>IF(G6=0,0,E54*E56*E24/100*E25)</f>
        <v>0</v>
      </c>
      <c r="F57" s="859"/>
      <c r="G57" s="856"/>
      <c r="H57" s="319"/>
      <c r="I57" s="821"/>
      <c r="J57" s="319"/>
      <c r="K57" s="12" t="s">
        <v>203</v>
      </c>
      <c r="L57" s="617">
        <f>IF(N6=0,0,L54*L56*L24/100*L25)</f>
        <v>0</v>
      </c>
      <c r="M57" s="859"/>
      <c r="N57" s="856"/>
      <c r="O57" s="319"/>
      <c r="P57" s="821"/>
      <c r="Q57" s="319"/>
      <c r="R57" s="12" t="s">
        <v>203</v>
      </c>
      <c r="S57" s="617">
        <f>IF(U6=0,0,S54*S56*S24/100*S25)</f>
        <v>0</v>
      </c>
      <c r="T57" s="859"/>
      <c r="U57" s="856"/>
      <c r="V57" s="319"/>
      <c r="W57" s="821"/>
      <c r="X57" s="319"/>
      <c r="Y57" s="12" t="s">
        <v>203</v>
      </c>
      <c r="Z57" s="617">
        <f>IF(AB6=0,0,Z54*Z56*Z24/100*Z25)</f>
        <v>0</v>
      </c>
      <c r="AA57" s="859"/>
      <c r="AB57" s="856"/>
      <c r="AD57" s="358"/>
    </row>
    <row r="58" spans="2:30" ht="13.5" thickBot="1" x14ac:dyDescent="0.25">
      <c r="B58" s="358"/>
      <c r="D58" s="104" t="s">
        <v>201</v>
      </c>
      <c r="E58" s="860">
        <f>IF(G6=0,0,G55*E55*E56*'11. Työtunnit'!$C$7)</f>
        <v>0</v>
      </c>
      <c r="F58" s="861"/>
      <c r="G58" s="862"/>
      <c r="H58" s="319"/>
      <c r="I58" s="821"/>
      <c r="J58" s="319"/>
      <c r="K58" s="104" t="s">
        <v>201</v>
      </c>
      <c r="L58" s="863">
        <f>IF(N6=0,0,N55*L55*L56*'11. Työtunnit'!$C$7)</f>
        <v>0</v>
      </c>
      <c r="M58" s="861"/>
      <c r="N58" s="862"/>
      <c r="O58" s="319"/>
      <c r="P58" s="821"/>
      <c r="Q58" s="319"/>
      <c r="R58" s="104" t="s">
        <v>201</v>
      </c>
      <c r="S58" s="863">
        <f>IF(U6=0,0,U55*S55*S56*'11. Työtunnit'!$C$7)</f>
        <v>0</v>
      </c>
      <c r="T58" s="861"/>
      <c r="U58" s="862"/>
      <c r="V58" s="319"/>
      <c r="W58" s="821"/>
      <c r="X58" s="319"/>
      <c r="Y58" s="104" t="s">
        <v>201</v>
      </c>
      <c r="Z58" s="863">
        <f>IF(AB6=0,0,AB55*Z55*Z56*'11. Työtunnit'!$C$7)</f>
        <v>0</v>
      </c>
      <c r="AA58" s="861"/>
      <c r="AB58" s="862"/>
      <c r="AD58" s="358"/>
    </row>
    <row r="59" spans="2:30" ht="22.5" customHeight="1" x14ac:dyDescent="0.2">
      <c r="B59" s="358"/>
      <c r="D59" s="319"/>
      <c r="E59" s="319"/>
      <c r="F59" s="319"/>
      <c r="G59" s="319"/>
      <c r="H59" s="319"/>
      <c r="I59" s="821"/>
      <c r="J59" s="319"/>
      <c r="K59" s="319"/>
      <c r="L59" s="319"/>
      <c r="M59" s="319"/>
      <c r="N59" s="319"/>
      <c r="O59" s="319"/>
      <c r="P59" s="821"/>
      <c r="Q59" s="319"/>
      <c r="R59" s="319"/>
      <c r="S59" s="319"/>
      <c r="T59" s="319"/>
      <c r="U59" s="319"/>
      <c r="V59" s="319"/>
      <c r="W59" s="821"/>
      <c r="X59" s="319"/>
      <c r="Y59" s="319"/>
      <c r="Z59" s="319"/>
      <c r="AA59" s="319"/>
      <c r="AB59" s="319"/>
      <c r="AD59" s="358"/>
    </row>
    <row r="60" spans="2:30" s="742" customFormat="1" ht="3.75" customHeight="1" x14ac:dyDescent="0.2">
      <c r="B60" s="743"/>
      <c r="C60" s="743"/>
      <c r="D60" s="743"/>
      <c r="E60" s="743"/>
      <c r="F60" s="743"/>
      <c r="G60" s="743"/>
      <c r="H60" s="743"/>
      <c r="I60" s="743"/>
      <c r="J60" s="743"/>
      <c r="K60" s="743"/>
      <c r="L60" s="743"/>
      <c r="M60" s="743"/>
      <c r="N60" s="743"/>
      <c r="O60" s="743"/>
      <c r="P60" s="743"/>
      <c r="Q60" s="743"/>
      <c r="R60" s="743"/>
      <c r="S60" s="743"/>
      <c r="T60" s="743"/>
      <c r="U60" s="743"/>
      <c r="V60" s="743"/>
      <c r="W60" s="743"/>
      <c r="X60" s="743"/>
      <c r="Y60" s="743"/>
      <c r="Z60" s="743"/>
      <c r="AA60" s="743"/>
      <c r="AB60" s="743"/>
      <c r="AC60" s="743"/>
      <c r="AD60" s="743"/>
    </row>
    <row r="61" spans="2:30" ht="22.5" customHeight="1" thickBot="1" x14ac:dyDescent="0.25">
      <c r="B61" s="358"/>
      <c r="D61" s="319"/>
      <c r="E61" s="319"/>
      <c r="F61" s="319"/>
      <c r="G61" s="319"/>
      <c r="H61" s="319" t="s">
        <v>1</v>
      </c>
      <c r="I61" s="821"/>
      <c r="J61" s="319"/>
      <c r="K61" s="319"/>
      <c r="L61" s="319"/>
      <c r="M61" s="319"/>
      <c r="N61" s="319"/>
      <c r="O61" s="319"/>
      <c r="P61" s="821"/>
      <c r="Q61" s="319"/>
      <c r="R61" s="319"/>
      <c r="S61" s="319"/>
      <c r="T61" s="319"/>
      <c r="U61" s="319"/>
      <c r="V61" s="319"/>
      <c r="W61" s="821"/>
      <c r="X61" s="319"/>
      <c r="Y61" s="319"/>
      <c r="Z61" s="319"/>
      <c r="AA61" s="319"/>
      <c r="AB61" s="319"/>
      <c r="AD61" s="358"/>
    </row>
    <row r="62" spans="2:30" ht="18.75" thickBot="1" x14ac:dyDescent="0.3">
      <c r="B62" s="358"/>
      <c r="D62" s="1440" t="s">
        <v>644</v>
      </c>
      <c r="E62" s="1624" t="s">
        <v>515</v>
      </c>
      <c r="F62" s="1625"/>
      <c r="G62" s="1626"/>
      <c r="H62" s="319"/>
      <c r="I62" s="821"/>
      <c r="J62" s="319"/>
      <c r="K62" s="356" t="str">
        <f>D62</f>
        <v>Verkko2</v>
      </c>
      <c r="L62" s="1624" t="s">
        <v>336</v>
      </c>
      <c r="M62" s="1625"/>
      <c r="N62" s="1626"/>
      <c r="O62" s="319"/>
      <c r="P62" s="821"/>
      <c r="Q62" s="319"/>
      <c r="R62" s="356" t="str">
        <f>D62</f>
        <v>Verkko2</v>
      </c>
      <c r="S62" s="1624" t="s">
        <v>337</v>
      </c>
      <c r="T62" s="1625"/>
      <c r="U62" s="1626"/>
      <c r="V62" s="319"/>
      <c r="W62" s="821"/>
      <c r="X62" s="319"/>
      <c r="Y62" s="356" t="str">
        <f>D62</f>
        <v>Verkko2</v>
      </c>
      <c r="Z62" s="1624" t="s">
        <v>516</v>
      </c>
      <c r="AA62" s="1625"/>
      <c r="AB62" s="1626"/>
      <c r="AD62" s="358"/>
    </row>
    <row r="63" spans="2:30" ht="13.5" thickBot="1" x14ac:dyDescent="0.25">
      <c r="B63" s="358"/>
      <c r="D63" s="319"/>
      <c r="E63" s="319"/>
      <c r="F63" s="319"/>
      <c r="G63" s="319"/>
      <c r="H63" s="319"/>
      <c r="I63" s="821"/>
      <c r="J63" s="319"/>
      <c r="K63" s="319"/>
      <c r="L63" s="319"/>
      <c r="M63" s="319"/>
      <c r="N63" s="319"/>
      <c r="O63" s="319"/>
      <c r="P63" s="821"/>
      <c r="Q63" s="319"/>
      <c r="R63" s="822"/>
      <c r="S63" s="319"/>
      <c r="T63" s="319"/>
      <c r="U63" s="319"/>
      <c r="V63" s="319"/>
      <c r="W63" s="821"/>
      <c r="X63" s="319"/>
      <c r="Y63" s="823"/>
      <c r="Z63" s="319"/>
      <c r="AA63" s="319"/>
      <c r="AB63" s="319"/>
      <c r="AD63" s="358"/>
    </row>
    <row r="64" spans="2:30" ht="15.75" customHeight="1" thickBot="1" x14ac:dyDescent="0.25">
      <c r="B64" s="358"/>
      <c r="D64" s="61" t="s">
        <v>170</v>
      </c>
      <c r="E64" s="67" t="s">
        <v>1</v>
      </c>
      <c r="F64" s="135" t="s">
        <v>1</v>
      </c>
      <c r="G64" s="1441">
        <v>0</v>
      </c>
      <c r="H64" s="319"/>
      <c r="I64" s="821"/>
      <c r="J64" s="319"/>
      <c r="K64" s="61" t="s">
        <v>170</v>
      </c>
      <c r="L64" s="352"/>
      <c r="M64" s="135" t="s">
        <v>1</v>
      </c>
      <c r="N64" s="1450">
        <v>0</v>
      </c>
      <c r="O64" s="319"/>
      <c r="P64" s="821"/>
      <c r="Q64" s="319"/>
      <c r="R64" s="61" t="s">
        <v>170</v>
      </c>
      <c r="S64" s="352"/>
      <c r="T64" s="135" t="s">
        <v>1</v>
      </c>
      <c r="U64" s="1441">
        <v>0</v>
      </c>
      <c r="V64" s="319"/>
      <c r="W64" s="821"/>
      <c r="X64" s="319"/>
      <c r="Y64" s="61" t="s">
        <v>170</v>
      </c>
      <c r="Z64" s="67"/>
      <c r="AA64" s="135" t="s">
        <v>1</v>
      </c>
      <c r="AB64" s="1441">
        <v>0</v>
      </c>
      <c r="AD64" s="358"/>
    </row>
    <row r="65" spans="2:30" ht="13.5" thickBot="1" x14ac:dyDescent="0.25">
      <c r="B65" s="358"/>
      <c r="D65" s="319"/>
      <c r="E65" s="319"/>
      <c r="F65" s="319"/>
      <c r="G65" s="319"/>
      <c r="H65" s="319"/>
      <c r="I65" s="821"/>
      <c r="J65" s="319"/>
      <c r="K65" s="319"/>
      <c r="L65" s="319"/>
      <c r="M65" s="319"/>
      <c r="N65" s="319"/>
      <c r="O65" s="319"/>
      <c r="P65" s="821"/>
      <c r="Q65" s="319"/>
      <c r="R65" s="319"/>
      <c r="S65" s="319"/>
      <c r="T65" s="319"/>
      <c r="U65" s="319"/>
      <c r="V65" s="319"/>
      <c r="W65" s="821"/>
      <c r="X65" s="319"/>
      <c r="Y65" s="319"/>
      <c r="Z65" s="319"/>
      <c r="AA65" s="319"/>
      <c r="AB65" s="319"/>
      <c r="AD65" s="358"/>
    </row>
    <row r="66" spans="2:30" ht="13.5" thickBot="1" x14ac:dyDescent="0.25">
      <c r="B66" s="358"/>
      <c r="D66" s="61" t="s">
        <v>378</v>
      </c>
      <c r="E66" s="824" t="s">
        <v>1</v>
      </c>
      <c r="F66" s="824"/>
      <c r="G66" s="825"/>
      <c r="H66" s="319"/>
      <c r="I66" s="821"/>
      <c r="J66" s="319"/>
      <c r="K66" s="61" t="s">
        <v>378</v>
      </c>
      <c r="L66" s="824" t="s">
        <v>1</v>
      </c>
      <c r="M66" s="824"/>
      <c r="N66" s="825"/>
      <c r="O66" s="319"/>
      <c r="P66" s="821"/>
      <c r="Q66" s="319"/>
      <c r="R66" s="61" t="s">
        <v>378</v>
      </c>
      <c r="S66" s="824" t="s">
        <v>1</v>
      </c>
      <c r="T66" s="824"/>
      <c r="U66" s="825"/>
      <c r="V66" s="319"/>
      <c r="W66" s="821"/>
      <c r="X66" s="319"/>
      <c r="Y66" s="61" t="s">
        <v>378</v>
      </c>
      <c r="Z66" s="824" t="s">
        <v>1</v>
      </c>
      <c r="AA66" s="824"/>
      <c r="AB66" s="825"/>
      <c r="AD66" s="358"/>
    </row>
    <row r="67" spans="2:30" ht="13.5" thickBot="1" x14ac:dyDescent="0.25">
      <c r="B67" s="358"/>
      <c r="D67" s="91" t="s">
        <v>2</v>
      </c>
      <c r="E67" s="1451">
        <v>0</v>
      </c>
      <c r="F67" s="826"/>
      <c r="G67" s="713" t="s">
        <v>43</v>
      </c>
      <c r="H67" s="319"/>
      <c r="I67" s="821"/>
      <c r="J67" s="319"/>
      <c r="K67" s="12" t="s">
        <v>2</v>
      </c>
      <c r="L67" s="1451">
        <v>0</v>
      </c>
      <c r="M67" s="827"/>
      <c r="N67" s="357" t="s">
        <v>43</v>
      </c>
      <c r="O67" s="319"/>
      <c r="P67" s="821"/>
      <c r="Q67" s="319"/>
      <c r="R67" s="12" t="s">
        <v>2</v>
      </c>
      <c r="S67" s="1451">
        <v>0</v>
      </c>
      <c r="T67" s="827"/>
      <c r="U67" s="357" t="s">
        <v>43</v>
      </c>
      <c r="V67" s="319"/>
      <c r="W67" s="821"/>
      <c r="X67" s="319"/>
      <c r="Y67" s="12" t="s">
        <v>2</v>
      </c>
      <c r="Z67" s="1451">
        <v>0</v>
      </c>
      <c r="AA67" s="827"/>
      <c r="AB67" s="357" t="s">
        <v>43</v>
      </c>
      <c r="AD67" s="358"/>
    </row>
    <row r="68" spans="2:30" ht="13.5" thickBot="1" x14ac:dyDescent="0.25">
      <c r="B68" s="358"/>
      <c r="D68" s="92" t="s">
        <v>3</v>
      </c>
      <c r="E68" s="1442">
        <v>0</v>
      </c>
      <c r="F68" s="828"/>
      <c r="G68" s="617">
        <f>IF(G64=0,0,E68-E67+1)</f>
        <v>0</v>
      </c>
      <c r="H68" s="319"/>
      <c r="I68" s="821"/>
      <c r="J68" s="319"/>
      <c r="K68" s="92" t="s">
        <v>3</v>
      </c>
      <c r="L68" s="1442">
        <v>0</v>
      </c>
      <c r="M68" s="828"/>
      <c r="N68" s="617">
        <f>IF(N64=0,0,L68-L67+1)</f>
        <v>0</v>
      </c>
      <c r="O68" s="319"/>
      <c r="P68" s="821"/>
      <c r="Q68" s="319"/>
      <c r="R68" s="92" t="s">
        <v>3</v>
      </c>
      <c r="S68" s="1442">
        <v>0</v>
      </c>
      <c r="T68" s="828"/>
      <c r="U68" s="617">
        <f>IF(U64=0,0,S68-S67+1)</f>
        <v>0</v>
      </c>
      <c r="V68" s="319"/>
      <c r="W68" s="821"/>
      <c r="X68" s="319"/>
      <c r="Y68" s="92" t="s">
        <v>3</v>
      </c>
      <c r="Z68" s="1442">
        <v>0</v>
      </c>
      <c r="AA68" s="828"/>
      <c r="AB68" s="617">
        <f>IF(AB64=0,0,Z68-Z67+1)</f>
        <v>0</v>
      </c>
      <c r="AD68" s="358"/>
    </row>
    <row r="69" spans="2:30" ht="13.5" thickBot="1" x14ac:dyDescent="0.25">
      <c r="B69" s="358"/>
      <c r="D69" s="319"/>
      <c r="E69" s="319"/>
      <c r="F69" s="319"/>
      <c r="G69" s="319"/>
      <c r="H69" s="319"/>
      <c r="I69" s="821"/>
      <c r="J69" s="319"/>
      <c r="K69" s="319"/>
      <c r="L69" s="319"/>
      <c r="M69" s="319"/>
      <c r="N69" s="319"/>
      <c r="O69" s="319"/>
      <c r="P69" s="821"/>
      <c r="Q69" s="319"/>
      <c r="R69" s="319"/>
      <c r="S69" s="319"/>
      <c r="T69" s="319"/>
      <c r="U69" s="319"/>
      <c r="V69" s="319"/>
      <c r="W69" s="821"/>
      <c r="X69" s="319"/>
      <c r="Y69" s="319"/>
      <c r="Z69" s="319"/>
      <c r="AA69" s="319"/>
      <c r="AB69" s="319"/>
      <c r="AD69" s="358"/>
    </row>
    <row r="70" spans="2:30" ht="13.5" thickBot="1" x14ac:dyDescent="0.25">
      <c r="B70" s="358"/>
      <c r="D70" s="61" t="s">
        <v>171</v>
      </c>
      <c r="E70" s="352"/>
      <c r="F70" s="352"/>
      <c r="G70" s="745"/>
      <c r="H70" s="319"/>
      <c r="I70" s="821"/>
      <c r="J70" s="319"/>
      <c r="K70" s="61" t="s">
        <v>171</v>
      </c>
      <c r="L70" s="352"/>
      <c r="M70" s="352"/>
      <c r="N70" s="745"/>
      <c r="O70" s="319"/>
      <c r="P70" s="821"/>
      <c r="Q70" s="319"/>
      <c r="R70" s="61" t="s">
        <v>171</v>
      </c>
      <c r="S70" s="352"/>
      <c r="T70" s="352"/>
      <c r="U70" s="745"/>
      <c r="V70" s="319"/>
      <c r="W70" s="821"/>
      <c r="X70" s="319"/>
      <c r="Y70" s="61" t="s">
        <v>171</v>
      </c>
      <c r="Z70" s="352"/>
      <c r="AA70" s="352"/>
      <c r="AB70" s="745"/>
      <c r="AD70" s="358"/>
    </row>
    <row r="71" spans="2:30" ht="13.5" thickBot="1" x14ac:dyDescent="0.25">
      <c r="B71" s="358"/>
      <c r="D71" s="12" t="s">
        <v>6</v>
      </c>
      <c r="E71" s="1443">
        <v>0</v>
      </c>
      <c r="F71" s="827"/>
      <c r="G71" s="829"/>
      <c r="H71" s="319"/>
      <c r="I71" s="821"/>
      <c r="J71" s="319"/>
      <c r="K71" s="12" t="s">
        <v>6</v>
      </c>
      <c r="L71" s="1443">
        <v>0</v>
      </c>
      <c r="M71" s="827"/>
      <c r="N71" s="829"/>
      <c r="O71" s="319"/>
      <c r="P71" s="821"/>
      <c r="Q71" s="319"/>
      <c r="R71" s="91" t="s">
        <v>6</v>
      </c>
      <c r="S71" s="1443">
        <v>0</v>
      </c>
      <c r="T71" s="826"/>
      <c r="U71" s="830"/>
      <c r="V71" s="319"/>
      <c r="W71" s="821"/>
      <c r="X71" s="319"/>
      <c r="Y71" s="12" t="s">
        <v>6</v>
      </c>
      <c r="Z71" s="1443">
        <v>0</v>
      </c>
      <c r="AA71" s="827"/>
      <c r="AB71" s="829"/>
      <c r="AD71" s="358"/>
    </row>
    <row r="72" spans="2:30" ht="13.5" thickBot="1" x14ac:dyDescent="0.25">
      <c r="B72" s="358"/>
      <c r="D72" s="92" t="s">
        <v>24</v>
      </c>
      <c r="E72" s="831">
        <f>IF(G64=0,0,ROUND(G68/7*E71,0))</f>
        <v>0</v>
      </c>
      <c r="F72" s="828"/>
      <c r="G72" s="702"/>
      <c r="H72" s="319"/>
      <c r="I72" s="821"/>
      <c r="J72" s="319"/>
      <c r="K72" s="92" t="s">
        <v>24</v>
      </c>
      <c r="L72" s="831">
        <f>IF(N64=0,0,ROUND(N68/7*L71,0))</f>
        <v>0</v>
      </c>
      <c r="M72" s="828"/>
      <c r="N72" s="702"/>
      <c r="O72" s="319"/>
      <c r="P72" s="821"/>
      <c r="Q72" s="319"/>
      <c r="R72" s="92" t="s">
        <v>24</v>
      </c>
      <c r="S72" s="831">
        <f>IF(U64=0,0,ROUND(U68/7*S71,0))</f>
        <v>0</v>
      </c>
      <c r="T72" s="828"/>
      <c r="U72" s="702"/>
      <c r="V72" s="319"/>
      <c r="W72" s="821"/>
      <c r="X72" s="319"/>
      <c r="Y72" s="92" t="s">
        <v>24</v>
      </c>
      <c r="Z72" s="831">
        <f>IF(AB64=0,0,ROUND(AB68/7*Z71,0))</f>
        <v>0</v>
      </c>
      <c r="AA72" s="828"/>
      <c r="AB72" s="702"/>
      <c r="AD72" s="358"/>
    </row>
    <row r="73" spans="2:30" ht="13.5" thickBot="1" x14ac:dyDescent="0.25">
      <c r="B73" s="358"/>
      <c r="D73" s="319"/>
      <c r="E73" s="319"/>
      <c r="F73" s="319"/>
      <c r="G73" s="319"/>
      <c r="H73" s="319"/>
      <c r="I73" s="821"/>
      <c r="J73" s="319"/>
      <c r="K73" s="319"/>
      <c r="L73" s="319"/>
      <c r="M73" s="319"/>
      <c r="N73" s="319"/>
      <c r="O73" s="319"/>
      <c r="P73" s="821"/>
      <c r="Q73" s="319"/>
      <c r="R73" s="319"/>
      <c r="S73" s="319"/>
      <c r="T73" s="319"/>
      <c r="U73" s="319"/>
      <c r="V73" s="319"/>
      <c r="W73" s="821"/>
      <c r="X73" s="319"/>
      <c r="Y73" s="319"/>
      <c r="Z73" s="319"/>
      <c r="AA73" s="319"/>
      <c r="AB73" s="319"/>
      <c r="AD73" s="358"/>
    </row>
    <row r="74" spans="2:30" ht="13.5" thickBot="1" x14ac:dyDescent="0.25">
      <c r="B74" s="358"/>
      <c r="D74" s="61" t="s">
        <v>57</v>
      </c>
      <c r="E74" s="352"/>
      <c r="F74" s="352"/>
      <c r="G74" s="745"/>
      <c r="H74" s="319"/>
      <c r="I74" s="821"/>
      <c r="J74" s="319"/>
      <c r="K74" s="94" t="s">
        <v>57</v>
      </c>
      <c r="L74" s="353"/>
      <c r="M74" s="353"/>
      <c r="N74" s="832"/>
      <c r="O74" s="319"/>
      <c r="P74" s="821"/>
      <c r="Q74" s="319"/>
      <c r="R74" s="61" t="s">
        <v>57</v>
      </c>
      <c r="S74" s="352"/>
      <c r="T74" s="353"/>
      <c r="U74" s="832"/>
      <c r="V74" s="319"/>
      <c r="W74" s="821"/>
      <c r="X74" s="319"/>
      <c r="Y74" s="61" t="s">
        <v>57</v>
      </c>
      <c r="Z74" s="352"/>
      <c r="AA74" s="353"/>
      <c r="AB74" s="832"/>
      <c r="AD74" s="358"/>
    </row>
    <row r="75" spans="2:30" ht="13.5" thickBot="1" x14ac:dyDescent="0.25">
      <c r="B75" s="358"/>
      <c r="D75" s="5" t="s">
        <v>7</v>
      </c>
      <c r="E75" s="833"/>
      <c r="F75" s="833"/>
      <c r="G75" s="834"/>
      <c r="H75" s="319"/>
      <c r="I75" s="821"/>
      <c r="J75" s="319"/>
      <c r="K75" s="5" t="s">
        <v>7</v>
      </c>
      <c r="L75" s="833"/>
      <c r="M75" s="833"/>
      <c r="N75" s="834"/>
      <c r="O75" s="319"/>
      <c r="P75" s="821"/>
      <c r="Q75" s="319"/>
      <c r="R75" s="5" t="s">
        <v>7</v>
      </c>
      <c r="S75" s="835"/>
      <c r="T75" s="833"/>
      <c r="U75" s="834"/>
      <c r="V75" s="319"/>
      <c r="W75" s="821"/>
      <c r="X75" s="319"/>
      <c r="Y75" s="5" t="s">
        <v>7</v>
      </c>
      <c r="Z75" s="835"/>
      <c r="AA75" s="833"/>
      <c r="AB75" s="834"/>
      <c r="AD75" s="358"/>
    </row>
    <row r="76" spans="2:30" ht="13.5" thickBot="1" x14ac:dyDescent="0.25">
      <c r="B76" s="358"/>
      <c r="D76" s="12" t="s">
        <v>9</v>
      </c>
      <c r="E76" s="845">
        <v>0</v>
      </c>
      <c r="F76" s="267"/>
      <c r="G76" s="829"/>
      <c r="H76" s="319"/>
      <c r="I76" s="821"/>
      <c r="J76" s="319"/>
      <c r="K76" s="12" t="s">
        <v>9</v>
      </c>
      <c r="L76" s="845">
        <v>0</v>
      </c>
      <c r="M76" s="267"/>
      <c r="N76" s="829"/>
      <c r="O76" s="319"/>
      <c r="P76" s="821"/>
      <c r="Q76" s="319"/>
      <c r="R76" s="12" t="s">
        <v>9</v>
      </c>
      <c r="S76" s="845">
        <v>0</v>
      </c>
      <c r="T76" s="267"/>
      <c r="U76" s="829"/>
      <c r="V76" s="319"/>
      <c r="W76" s="821"/>
      <c r="X76" s="319"/>
      <c r="Y76" s="12" t="s">
        <v>9</v>
      </c>
      <c r="Z76" s="845">
        <v>0</v>
      </c>
      <c r="AA76" s="267"/>
      <c r="AB76" s="829"/>
      <c r="AD76" s="358"/>
    </row>
    <row r="77" spans="2:30" ht="13.5" thickBot="1" x14ac:dyDescent="0.25">
      <c r="B77" s="358"/>
      <c r="D77" s="12" t="s">
        <v>8</v>
      </c>
      <c r="E77" s="845">
        <v>0</v>
      </c>
      <c r="F77" s="267"/>
      <c r="G77" s="357" t="s">
        <v>48</v>
      </c>
      <c r="H77" s="319"/>
      <c r="I77" s="821"/>
      <c r="J77" s="319"/>
      <c r="K77" s="12" t="s">
        <v>8</v>
      </c>
      <c r="L77" s="845">
        <v>0</v>
      </c>
      <c r="M77" s="267"/>
      <c r="N77" s="357" t="s">
        <v>48</v>
      </c>
      <c r="O77" s="319"/>
      <c r="P77" s="821"/>
      <c r="Q77" s="319"/>
      <c r="R77" s="12" t="s">
        <v>8</v>
      </c>
      <c r="S77" s="845">
        <v>0</v>
      </c>
      <c r="T77" s="267"/>
      <c r="U77" s="357" t="s">
        <v>48</v>
      </c>
      <c r="V77" s="319"/>
      <c r="W77" s="821"/>
      <c r="X77" s="319"/>
      <c r="Y77" s="12" t="s">
        <v>8</v>
      </c>
      <c r="Z77" s="845">
        <v>0</v>
      </c>
      <c r="AA77" s="267"/>
      <c r="AB77" s="357" t="s">
        <v>48</v>
      </c>
      <c r="AD77" s="358"/>
    </row>
    <row r="78" spans="2:30" ht="13.5" thickBot="1" x14ac:dyDescent="0.25">
      <c r="B78" s="358"/>
      <c r="D78" s="12" t="s">
        <v>11</v>
      </c>
      <c r="E78" s="841">
        <v>0</v>
      </c>
      <c r="F78" s="836"/>
      <c r="G78" s="1445">
        <v>1</v>
      </c>
      <c r="H78" s="319"/>
      <c r="I78" s="821"/>
      <c r="J78" s="319"/>
      <c r="K78" s="12" t="s">
        <v>11</v>
      </c>
      <c r="L78" s="841">
        <v>0</v>
      </c>
      <c r="M78" s="836"/>
      <c r="N78" s="1445">
        <v>1</v>
      </c>
      <c r="O78" s="319"/>
      <c r="P78" s="821"/>
      <c r="Q78" s="319"/>
      <c r="R78" s="12" t="s">
        <v>11</v>
      </c>
      <c r="S78" s="841">
        <v>0</v>
      </c>
      <c r="T78" s="836"/>
      <c r="U78" s="1445">
        <v>1</v>
      </c>
      <c r="V78" s="319"/>
      <c r="W78" s="821"/>
      <c r="X78" s="319"/>
      <c r="Y78" s="12" t="s">
        <v>11</v>
      </c>
      <c r="Z78" s="841">
        <v>0</v>
      </c>
      <c r="AA78" s="836"/>
      <c r="AB78" s="1445">
        <v>1</v>
      </c>
      <c r="AD78" s="358"/>
    </row>
    <row r="79" spans="2:30" ht="13.5" thickBot="1" x14ac:dyDescent="0.25">
      <c r="B79" s="358"/>
      <c r="D79" s="12" t="s">
        <v>50</v>
      </c>
      <c r="E79" s="845">
        <v>0</v>
      </c>
      <c r="F79" s="267"/>
      <c r="G79" s="357" t="s">
        <v>48</v>
      </c>
      <c r="H79" s="319"/>
      <c r="I79" s="821"/>
      <c r="J79" s="319"/>
      <c r="K79" s="12" t="s">
        <v>50</v>
      </c>
      <c r="L79" s="845">
        <v>0</v>
      </c>
      <c r="M79" s="267"/>
      <c r="N79" s="357" t="s">
        <v>48</v>
      </c>
      <c r="O79" s="319"/>
      <c r="P79" s="821"/>
      <c r="Q79" s="319"/>
      <c r="R79" s="12" t="s">
        <v>50</v>
      </c>
      <c r="S79" s="845">
        <v>0</v>
      </c>
      <c r="T79" s="267"/>
      <c r="U79" s="357" t="s">
        <v>48</v>
      </c>
      <c r="V79" s="319"/>
      <c r="W79" s="821"/>
      <c r="X79" s="319"/>
      <c r="Y79" s="12" t="s">
        <v>50</v>
      </c>
      <c r="Z79" s="845">
        <v>0</v>
      </c>
      <c r="AA79" s="267"/>
      <c r="AB79" s="357" t="s">
        <v>48</v>
      </c>
      <c r="AD79" s="358"/>
    </row>
    <row r="80" spans="2:30" ht="13.5" thickBot="1" x14ac:dyDescent="0.25">
      <c r="B80" s="358"/>
      <c r="D80" s="12" t="s">
        <v>49</v>
      </c>
      <c r="E80" s="1444">
        <v>0</v>
      </c>
      <c r="F80" s="836"/>
      <c r="G80" s="1445">
        <v>1</v>
      </c>
      <c r="H80" s="319"/>
      <c r="I80" s="821"/>
      <c r="J80" s="319"/>
      <c r="K80" s="12" t="s">
        <v>49</v>
      </c>
      <c r="L80" s="1444">
        <v>0</v>
      </c>
      <c r="M80" s="836"/>
      <c r="N80" s="1445">
        <v>1</v>
      </c>
      <c r="O80" s="319"/>
      <c r="P80" s="821"/>
      <c r="Q80" s="319"/>
      <c r="R80" s="12" t="s">
        <v>49</v>
      </c>
      <c r="S80" s="1444">
        <v>0</v>
      </c>
      <c r="T80" s="836"/>
      <c r="U80" s="1445">
        <v>1</v>
      </c>
      <c r="V80" s="319"/>
      <c r="W80" s="821"/>
      <c r="X80" s="319"/>
      <c r="Y80" s="12" t="s">
        <v>49</v>
      </c>
      <c r="Z80" s="1444">
        <v>0</v>
      </c>
      <c r="AA80" s="836"/>
      <c r="AB80" s="1445">
        <v>1</v>
      </c>
      <c r="AD80" s="358"/>
    </row>
    <row r="81" spans="2:32" ht="13.5" thickBot="1" x14ac:dyDescent="0.25">
      <c r="B81" s="358"/>
      <c r="D81" s="12" t="s">
        <v>10</v>
      </c>
      <c r="E81" s="845">
        <v>0</v>
      </c>
      <c r="F81" s="267"/>
      <c r="G81" s="256"/>
      <c r="H81" s="319"/>
      <c r="I81" s="821"/>
      <c r="J81" s="319"/>
      <c r="K81" s="12" t="s">
        <v>10</v>
      </c>
      <c r="L81" s="845">
        <v>0</v>
      </c>
      <c r="M81" s="267"/>
      <c r="N81" s="256"/>
      <c r="O81" s="319"/>
      <c r="P81" s="821"/>
      <c r="Q81" s="319"/>
      <c r="R81" s="12" t="s">
        <v>10</v>
      </c>
      <c r="S81" s="845">
        <v>0</v>
      </c>
      <c r="T81" s="267"/>
      <c r="U81" s="256"/>
      <c r="V81" s="319"/>
      <c r="W81" s="821"/>
      <c r="X81" s="319"/>
      <c r="Y81" s="12" t="s">
        <v>10</v>
      </c>
      <c r="Z81" s="845">
        <v>0</v>
      </c>
      <c r="AA81" s="267"/>
      <c r="AB81" s="256"/>
      <c r="AD81" s="358"/>
    </row>
    <row r="82" spans="2:32" ht="13.5" thickBot="1" x14ac:dyDescent="0.25">
      <c r="B82" s="358"/>
      <c r="D82" s="12" t="s">
        <v>53</v>
      </c>
      <c r="E82" s="1444">
        <v>0</v>
      </c>
      <c r="F82" s="267"/>
      <c r="G82" s="1363" t="s">
        <v>439</v>
      </c>
      <c r="H82" s="319"/>
      <c r="I82" s="821"/>
      <c r="J82" s="319"/>
      <c r="K82" s="12" t="s">
        <v>53</v>
      </c>
      <c r="L82" s="1444">
        <v>0</v>
      </c>
      <c r="M82" s="267"/>
      <c r="N82" s="1363" t="s">
        <v>439</v>
      </c>
      <c r="O82" s="319"/>
      <c r="P82" s="821"/>
      <c r="Q82" s="319"/>
      <c r="R82" s="12" t="s">
        <v>53</v>
      </c>
      <c r="S82" s="1444">
        <v>0</v>
      </c>
      <c r="T82" s="267"/>
      <c r="U82" s="1363" t="s">
        <v>439</v>
      </c>
      <c r="V82" s="319"/>
      <c r="W82" s="821"/>
      <c r="X82" s="319"/>
      <c r="Y82" s="12" t="s">
        <v>53</v>
      </c>
      <c r="Z82" s="1444">
        <v>0</v>
      </c>
      <c r="AA82" s="267"/>
      <c r="AB82" s="1363" t="s">
        <v>439</v>
      </c>
      <c r="AD82" s="358"/>
    </row>
    <row r="83" spans="2:32" ht="13.5" thickBot="1" x14ac:dyDescent="0.25">
      <c r="B83" s="358"/>
      <c r="D83" s="2" t="s">
        <v>550</v>
      </c>
      <c r="E83" s="1207">
        <f>IF(G83=1,'10. Verot'!$C$17/100,IF('2.1 Verkkopyynti'!G83=2,'10. Verot'!$D$17/100))</f>
        <v>1.3709677419354838</v>
      </c>
      <c r="F83" s="837"/>
      <c r="G83" s="1446">
        <v>1</v>
      </c>
      <c r="H83" s="319"/>
      <c r="I83" s="821"/>
      <c r="J83" s="319"/>
      <c r="K83" s="2" t="s">
        <v>550</v>
      </c>
      <c r="L83" s="1207">
        <f>IF(N83=1,'10. Verot'!$C$17/100,IF('2.1 Verkkopyynti'!N83=2,'10. Verot'!$D$17/100))</f>
        <v>1.3709677419354838</v>
      </c>
      <c r="M83" s="837"/>
      <c r="N83" s="1452">
        <v>1</v>
      </c>
      <c r="O83" s="319"/>
      <c r="P83" s="821"/>
      <c r="Q83" s="319"/>
      <c r="R83" s="2" t="s">
        <v>550</v>
      </c>
      <c r="S83" s="1207">
        <f>IF(U83=1,'10. Verot'!$C$17/100,IF('2.1 Verkkopyynti'!U83=2,'10. Verot'!$D$17/100))</f>
        <v>1.3709677419354838</v>
      </c>
      <c r="T83" s="837"/>
      <c r="U83" s="1446">
        <v>1</v>
      </c>
      <c r="V83" s="319"/>
      <c r="W83" s="821"/>
      <c r="X83" s="319"/>
      <c r="Y83" s="2" t="s">
        <v>550</v>
      </c>
      <c r="Z83" s="1207">
        <f>IF(AB83=1,'10. Verot'!$C$17/100,IF('2.1 Verkkopyynti'!AB83=2,'10. Verot'!$D$17/100))</f>
        <v>1.3709677419354838</v>
      </c>
      <c r="AA83" s="837"/>
      <c r="AB83" s="1446">
        <v>1</v>
      </c>
      <c r="AD83" s="358"/>
    </row>
    <row r="84" spans="2:32" ht="13.5" thickBot="1" x14ac:dyDescent="0.25">
      <c r="B84" s="358"/>
      <c r="D84" s="12" t="s">
        <v>200</v>
      </c>
      <c r="E84" s="422">
        <f>IF(G64=0,0,E77*E76+E79*E81)</f>
        <v>0</v>
      </c>
      <c r="F84" s="838"/>
      <c r="G84" s="712"/>
      <c r="H84" s="319"/>
      <c r="I84" s="821"/>
      <c r="J84" s="319"/>
      <c r="K84" s="12" t="s">
        <v>200</v>
      </c>
      <c r="L84" s="422">
        <f>IF(N64=0,0,L77*L76+L79*L81)</f>
        <v>0</v>
      </c>
      <c r="M84" s="838"/>
      <c r="N84" s="712"/>
      <c r="O84" s="319"/>
      <c r="P84" s="821"/>
      <c r="Q84" s="319"/>
      <c r="R84" s="12" t="s">
        <v>200</v>
      </c>
      <c r="S84" s="422">
        <f>IF(U64=0,0,S77*S76+S79*S81)</f>
        <v>0</v>
      </c>
      <c r="T84" s="838"/>
      <c r="U84" s="712"/>
      <c r="V84" s="319"/>
      <c r="W84" s="821"/>
      <c r="X84" s="319"/>
      <c r="Y84" s="12" t="s">
        <v>200</v>
      </c>
      <c r="Z84" s="422">
        <f>IF(AB64=0,0,Z77*Z76+Z79*Z81)</f>
        <v>0</v>
      </c>
      <c r="AA84" s="838"/>
      <c r="AB84" s="712"/>
      <c r="AD84" s="358"/>
    </row>
    <row r="85" spans="2:32" ht="13.5" thickBot="1" x14ac:dyDescent="0.25">
      <c r="B85" s="358"/>
      <c r="D85" s="12" t="s">
        <v>27</v>
      </c>
      <c r="E85" s="423">
        <f>IF(G64=0,0,(E84/100)*E82*E83)</f>
        <v>0</v>
      </c>
      <c r="F85" s="838"/>
      <c r="G85" s="712"/>
      <c r="H85" s="319"/>
      <c r="I85" s="821"/>
      <c r="J85" s="319"/>
      <c r="K85" s="12" t="s">
        <v>27</v>
      </c>
      <c r="L85" s="423">
        <f>IF(N64=0,0,(L84/100)*L82*L83)</f>
        <v>0</v>
      </c>
      <c r="M85" s="838"/>
      <c r="N85" s="712"/>
      <c r="O85" s="319"/>
      <c r="P85" s="821"/>
      <c r="Q85" s="319"/>
      <c r="R85" s="12" t="s">
        <v>27</v>
      </c>
      <c r="S85" s="423">
        <f>IF(U64=0,0,(S84/100)*S82*S83)</f>
        <v>0</v>
      </c>
      <c r="T85" s="838"/>
      <c r="U85" s="712"/>
      <c r="V85" s="319"/>
      <c r="W85" s="821"/>
      <c r="X85" s="319"/>
      <c r="Y85" s="12" t="s">
        <v>27</v>
      </c>
      <c r="Z85" s="423">
        <f>IF(AB64=0,0,(Z84/100)*Z82*Z83)</f>
        <v>0</v>
      </c>
      <c r="AA85" s="838"/>
      <c r="AB85" s="712"/>
      <c r="AD85" s="358"/>
    </row>
    <row r="86" spans="2:32" ht="13.5" thickBot="1" x14ac:dyDescent="0.25">
      <c r="B86" s="358"/>
      <c r="D86" s="12" t="s">
        <v>409</v>
      </c>
      <c r="E86" s="423">
        <f>IF(G64=0,0,E76*E78*G78+E81*E80*G80)</f>
        <v>0</v>
      </c>
      <c r="F86" s="838"/>
      <c r="G86" s="712"/>
      <c r="H86" s="319"/>
      <c r="I86" s="821"/>
      <c r="J86" s="319"/>
      <c r="K86" s="12" t="s">
        <v>409</v>
      </c>
      <c r="L86" s="423">
        <f>IF(N64=0,0,L76*L78*N78+L81*L80*N80)</f>
        <v>0</v>
      </c>
      <c r="M86" s="838"/>
      <c r="N86" s="712"/>
      <c r="O86" s="319"/>
      <c r="P86" s="821"/>
      <c r="Q86" s="319"/>
      <c r="R86" s="12" t="s">
        <v>409</v>
      </c>
      <c r="S86" s="423">
        <f>IF(U64=0,0,S76*S78*U78+S81*S80*U80)</f>
        <v>0</v>
      </c>
      <c r="T86" s="838"/>
      <c r="U86" s="712"/>
      <c r="V86" s="319"/>
      <c r="W86" s="821"/>
      <c r="X86" s="319"/>
      <c r="Y86" s="12" t="s">
        <v>409</v>
      </c>
      <c r="Z86" s="423">
        <f>IF(AB64=0,0,Z76*Z78*AB78+Z81*Z80*AB80)</f>
        <v>0</v>
      </c>
      <c r="AA86" s="838"/>
      <c r="AB86" s="712"/>
      <c r="AD86" s="358"/>
    </row>
    <row r="87" spans="2:32" ht="13.5" thickBot="1" x14ac:dyDescent="0.25">
      <c r="B87" s="358"/>
      <c r="D87" s="12" t="s">
        <v>201</v>
      </c>
      <c r="E87" s="427">
        <f>IF(G64=0,0,E86*'11. Työtunnit'!$C$7)</f>
        <v>0</v>
      </c>
      <c r="F87" s="838"/>
      <c r="G87" s="712"/>
      <c r="H87" s="319"/>
      <c r="I87" s="821"/>
      <c r="J87" s="319"/>
      <c r="K87" s="92" t="s">
        <v>201</v>
      </c>
      <c r="L87" s="427">
        <f>IF(N64=0,0,L86*'11. Työtunnit'!$C$7)</f>
        <v>0</v>
      </c>
      <c r="M87" s="839"/>
      <c r="N87" s="840"/>
      <c r="O87" s="319"/>
      <c r="P87" s="821"/>
      <c r="Q87" s="319"/>
      <c r="R87" s="92" t="s">
        <v>201</v>
      </c>
      <c r="S87" s="427">
        <f>IF(U64=0,0,S86*'11. Työtunnit'!$C$7)</f>
        <v>0</v>
      </c>
      <c r="T87" s="839"/>
      <c r="U87" s="840"/>
      <c r="V87" s="319"/>
      <c r="W87" s="821"/>
      <c r="X87" s="319"/>
      <c r="Y87" s="92" t="s">
        <v>201</v>
      </c>
      <c r="Z87" s="427">
        <f>IF(AB64=0,0,Z86*'11. Työtunnit'!$C$7)</f>
        <v>0</v>
      </c>
      <c r="AA87" s="839"/>
      <c r="AB87" s="840"/>
      <c r="AD87" s="358"/>
    </row>
    <row r="88" spans="2:32" ht="13.5" thickBot="1" x14ac:dyDescent="0.25">
      <c r="B88" s="358"/>
      <c r="D88" s="5" t="s">
        <v>14</v>
      </c>
      <c r="E88" s="833"/>
      <c r="F88" s="833"/>
      <c r="G88" s="834"/>
      <c r="H88" s="319"/>
      <c r="I88" s="821"/>
      <c r="J88" s="319"/>
      <c r="K88" s="57" t="s">
        <v>14</v>
      </c>
      <c r="L88" s="835" t="s">
        <v>1</v>
      </c>
      <c r="M88" s="838"/>
      <c r="N88" s="712"/>
      <c r="O88" s="319"/>
      <c r="P88" s="821"/>
      <c r="Q88" s="319"/>
      <c r="R88" s="5" t="s">
        <v>14</v>
      </c>
      <c r="S88" s="835"/>
      <c r="T88" s="838"/>
      <c r="U88" s="712"/>
      <c r="V88" s="319"/>
      <c r="W88" s="821"/>
      <c r="X88" s="319"/>
      <c r="Y88" s="5" t="s">
        <v>14</v>
      </c>
      <c r="Z88" s="835" t="s">
        <v>1</v>
      </c>
      <c r="AA88" s="838"/>
      <c r="AB88" s="712"/>
      <c r="AD88" s="358"/>
    </row>
    <row r="89" spans="2:32" ht="13.5" thickBot="1" x14ac:dyDescent="0.25">
      <c r="B89" s="358"/>
      <c r="D89" s="12" t="s">
        <v>18</v>
      </c>
      <c r="E89" s="845">
        <v>0</v>
      </c>
      <c r="F89" s="267"/>
      <c r="G89" s="357" t="s">
        <v>48</v>
      </c>
      <c r="H89" s="319"/>
      <c r="I89" s="821"/>
      <c r="J89" s="319"/>
      <c r="K89" s="12" t="s">
        <v>18</v>
      </c>
      <c r="L89" s="845">
        <v>0</v>
      </c>
      <c r="M89" s="267"/>
      <c r="N89" s="357" t="s">
        <v>48</v>
      </c>
      <c r="O89" s="319"/>
      <c r="P89" s="821"/>
      <c r="Q89" s="319"/>
      <c r="R89" s="12" t="s">
        <v>18</v>
      </c>
      <c r="S89" s="845">
        <v>0</v>
      </c>
      <c r="T89" s="267"/>
      <c r="U89" s="357" t="s">
        <v>48</v>
      </c>
      <c r="V89" s="319"/>
      <c r="W89" s="821"/>
      <c r="X89" s="319"/>
      <c r="Y89" s="12" t="s">
        <v>18</v>
      </c>
      <c r="Z89" s="845">
        <v>0</v>
      </c>
      <c r="AA89" s="267"/>
      <c r="AB89" s="357" t="s">
        <v>48</v>
      </c>
      <c r="AD89" s="358"/>
    </row>
    <row r="90" spans="2:32" ht="13.5" thickBot="1" x14ac:dyDescent="0.25">
      <c r="B90" s="358"/>
      <c r="D90" s="12" t="s">
        <v>450</v>
      </c>
      <c r="E90" s="905">
        <v>0</v>
      </c>
      <c r="F90" s="836"/>
      <c r="G90" s="1445">
        <v>1</v>
      </c>
      <c r="H90" s="319"/>
      <c r="I90" s="821"/>
      <c r="J90" s="319"/>
      <c r="K90" s="12" t="s">
        <v>450</v>
      </c>
      <c r="L90" s="905">
        <v>0</v>
      </c>
      <c r="M90" s="836"/>
      <c r="N90" s="1445">
        <v>1</v>
      </c>
      <c r="O90" s="319"/>
      <c r="P90" s="821"/>
      <c r="Q90" s="319"/>
      <c r="R90" s="12" t="s">
        <v>450</v>
      </c>
      <c r="S90" s="905">
        <v>0</v>
      </c>
      <c r="T90" s="836"/>
      <c r="U90" s="1445">
        <v>1</v>
      </c>
      <c r="V90" s="319"/>
      <c r="W90" s="821"/>
      <c r="X90" s="319"/>
      <c r="Y90" s="12" t="s">
        <v>450</v>
      </c>
      <c r="Z90" s="905">
        <v>0</v>
      </c>
      <c r="AA90" s="836"/>
      <c r="AB90" s="1445">
        <v>1</v>
      </c>
      <c r="AD90" s="358"/>
    </row>
    <row r="91" spans="2:32" ht="13.5" thickBot="1" x14ac:dyDescent="0.25">
      <c r="B91" s="358"/>
      <c r="D91" s="12" t="s">
        <v>205</v>
      </c>
      <c r="E91" s="845">
        <v>0</v>
      </c>
      <c r="F91" s="842"/>
      <c r="G91" s="1363" t="s">
        <v>439</v>
      </c>
      <c r="H91" s="319"/>
      <c r="I91" s="821"/>
      <c r="J91" s="319"/>
      <c r="K91" s="12" t="s">
        <v>205</v>
      </c>
      <c r="L91" s="845">
        <v>0</v>
      </c>
      <c r="M91" s="842"/>
      <c r="N91" s="1363" t="s">
        <v>439</v>
      </c>
      <c r="O91" s="319"/>
      <c r="P91" s="821"/>
      <c r="Q91" s="319"/>
      <c r="R91" s="12" t="s">
        <v>205</v>
      </c>
      <c r="S91" s="841">
        <v>0</v>
      </c>
      <c r="T91" s="842"/>
      <c r="U91" s="1363" t="s">
        <v>439</v>
      </c>
      <c r="V91" s="319"/>
      <c r="W91" s="821"/>
      <c r="X91" s="319"/>
      <c r="Y91" s="12" t="s">
        <v>205</v>
      </c>
      <c r="Z91" s="845">
        <v>0</v>
      </c>
      <c r="AA91" s="842"/>
      <c r="AB91" s="1363" t="s">
        <v>439</v>
      </c>
      <c r="AD91" s="358"/>
    </row>
    <row r="92" spans="2:32" ht="13.5" thickBot="1" x14ac:dyDescent="0.25">
      <c r="B92" s="358"/>
      <c r="D92" s="2" t="s">
        <v>549</v>
      </c>
      <c r="E92" s="1207">
        <f>IF(G92=1,'10. Verot'!$C$18/100,IF(G92=2,'10. Verot'!$E$18/100))</f>
        <v>0.72056774193548379</v>
      </c>
      <c r="F92" s="837"/>
      <c r="G92" s="843">
        <v>1</v>
      </c>
      <c r="H92" s="319"/>
      <c r="I92" s="821"/>
      <c r="J92" s="319"/>
      <c r="K92" s="2" t="s">
        <v>549</v>
      </c>
      <c r="L92" s="1207">
        <f>IF(N92=1,'10. Verot'!$C$18/100,IF(N92=2,'10. Verot'!$E$18/100))</f>
        <v>0.72056774193548379</v>
      </c>
      <c r="M92" s="837"/>
      <c r="N92" s="843">
        <v>1</v>
      </c>
      <c r="O92" s="319"/>
      <c r="P92" s="821"/>
      <c r="Q92" s="319"/>
      <c r="R92" s="2" t="s">
        <v>549</v>
      </c>
      <c r="S92" s="1207">
        <f>IF(U92=1,'10. Verot'!$C$18/100,IF(U92=2,'10. Verot'!$E$18/100))</f>
        <v>0.72056774193548379</v>
      </c>
      <c r="T92" s="837"/>
      <c r="U92" s="843">
        <v>1</v>
      </c>
      <c r="V92" s="319"/>
      <c r="W92" s="821"/>
      <c r="X92" s="319"/>
      <c r="Y92" s="2" t="s">
        <v>549</v>
      </c>
      <c r="Z92" s="1207">
        <f>IF(AB92=1,'10. Verot'!$C$18/100,IF(AB92=2,'10. Verot'!$E$18/100))</f>
        <v>0.72056774193548379</v>
      </c>
      <c r="AA92" s="837"/>
      <c r="AB92" s="843">
        <v>1</v>
      </c>
      <c r="AD92" s="358"/>
    </row>
    <row r="93" spans="2:32" ht="13.5" thickBot="1" x14ac:dyDescent="0.25">
      <c r="B93" s="358"/>
      <c r="D93" s="12" t="s">
        <v>204</v>
      </c>
      <c r="E93" s="423">
        <f>IF(G64=0,0,E89*E91*E92)</f>
        <v>0</v>
      </c>
      <c r="F93" s="838"/>
      <c r="G93" s="712"/>
      <c r="H93" s="319"/>
      <c r="I93" s="821"/>
      <c r="J93" s="319"/>
      <c r="K93" s="12" t="s">
        <v>204</v>
      </c>
      <c r="L93" s="423">
        <f>IF(N64=0,0,L89*L91*L92)</f>
        <v>0</v>
      </c>
      <c r="M93" s="838"/>
      <c r="N93" s="712"/>
      <c r="O93" s="319"/>
      <c r="P93" s="821"/>
      <c r="Q93" s="319"/>
      <c r="R93" s="12" t="s">
        <v>204</v>
      </c>
      <c r="S93" s="423">
        <f>IF(U64=0,0,S89*S91*S92)</f>
        <v>0</v>
      </c>
      <c r="T93" s="838"/>
      <c r="U93" s="712"/>
      <c r="V93" s="319"/>
      <c r="W93" s="821"/>
      <c r="X93" s="319"/>
      <c r="Y93" s="12" t="s">
        <v>204</v>
      </c>
      <c r="Z93" s="423">
        <f>IF(AB64=0,0,Z89*Z91*Z92)</f>
        <v>0</v>
      </c>
      <c r="AA93" s="838"/>
      <c r="AB93" s="712"/>
      <c r="AD93" s="358"/>
    </row>
    <row r="94" spans="2:32" ht="13.5" thickBot="1" x14ac:dyDescent="0.25">
      <c r="B94" s="358"/>
      <c r="D94" s="12" t="s">
        <v>28</v>
      </c>
      <c r="E94" s="422">
        <f>IF(G64=0,0,E90*E89*G90)</f>
        <v>0</v>
      </c>
      <c r="F94" s="838"/>
      <c r="G94" s="712"/>
      <c r="H94" s="319"/>
      <c r="I94" s="821"/>
      <c r="J94" s="319"/>
      <c r="K94" s="12" t="s">
        <v>28</v>
      </c>
      <c r="L94" s="422">
        <f>IF(N64=0,0,L90*L89*N90)</f>
        <v>0</v>
      </c>
      <c r="M94" s="838"/>
      <c r="N94" s="712"/>
      <c r="O94" s="319"/>
      <c r="P94" s="821"/>
      <c r="Q94" s="319"/>
      <c r="R94" s="12" t="s">
        <v>28</v>
      </c>
      <c r="S94" s="422">
        <f>IF(U64=0,0,S90*S89*U90)</f>
        <v>0</v>
      </c>
      <c r="T94" s="838"/>
      <c r="U94" s="712"/>
      <c r="V94" s="319"/>
      <c r="W94" s="821"/>
      <c r="X94" s="319"/>
      <c r="Y94" s="12" t="s">
        <v>28</v>
      </c>
      <c r="Z94" s="422">
        <f>IF(AB64=0,0,Z90*Z89*AB90)</f>
        <v>0</v>
      </c>
      <c r="AA94" s="838"/>
      <c r="AB94" s="712"/>
      <c r="AD94" s="358"/>
    </row>
    <row r="95" spans="2:32" ht="13.5" thickBot="1" x14ac:dyDescent="0.25">
      <c r="B95" s="358"/>
      <c r="D95" s="104" t="s">
        <v>202</v>
      </c>
      <c r="E95" s="422">
        <f>IF(G64=0,0,E94*'11. Työtunnit'!$C$7)</f>
        <v>0</v>
      </c>
      <c r="F95" s="839"/>
      <c r="G95" s="840"/>
      <c r="H95" s="319"/>
      <c r="I95" s="821"/>
      <c r="J95" s="319"/>
      <c r="K95" s="104" t="s">
        <v>202</v>
      </c>
      <c r="L95" s="844">
        <f>IF(N64=0,0,L94*'11. Työtunnit'!$C$7)</f>
        <v>0</v>
      </c>
      <c r="M95" s="839"/>
      <c r="N95" s="840"/>
      <c r="O95" s="319"/>
      <c r="P95" s="821"/>
      <c r="Q95" s="319"/>
      <c r="R95" s="104" t="s">
        <v>202</v>
      </c>
      <c r="S95" s="844">
        <f>IF(U64=0,0,S94*'11. Työtunnit'!$C$7)</f>
        <v>0</v>
      </c>
      <c r="T95" s="839"/>
      <c r="U95" s="840"/>
      <c r="V95" s="319"/>
      <c r="W95" s="821"/>
      <c r="X95" s="319"/>
      <c r="Y95" s="104" t="s">
        <v>202</v>
      </c>
      <c r="Z95" s="844">
        <f>IF(AB64=0,0,Z94*'11. Työtunnit'!C7)</f>
        <v>0</v>
      </c>
      <c r="AA95" s="839"/>
      <c r="AB95" s="840"/>
      <c r="AD95" s="358"/>
    </row>
    <row r="96" spans="2:32" ht="13.5" thickBot="1" x14ac:dyDescent="0.25">
      <c r="B96" s="358"/>
      <c r="D96" s="57" t="s">
        <v>17</v>
      </c>
      <c r="E96" s="838"/>
      <c r="F96" s="838"/>
      <c r="G96" s="712"/>
      <c r="H96" s="319"/>
      <c r="I96" s="821"/>
      <c r="J96" s="319"/>
      <c r="K96" s="57" t="s">
        <v>17</v>
      </c>
      <c r="L96" s="835"/>
      <c r="M96" s="838"/>
      <c r="N96" s="712"/>
      <c r="O96" s="319"/>
      <c r="P96" s="821"/>
      <c r="Q96" s="319"/>
      <c r="R96" s="57" t="s">
        <v>17</v>
      </c>
      <c r="S96" s="835"/>
      <c r="T96" s="838"/>
      <c r="U96" s="712"/>
      <c r="V96" s="319"/>
      <c r="W96" s="821"/>
      <c r="X96" s="319"/>
      <c r="Y96" s="57" t="s">
        <v>17</v>
      </c>
      <c r="Z96" s="835"/>
      <c r="AA96" s="838"/>
      <c r="AB96" s="712"/>
      <c r="AD96" s="358"/>
      <c r="AF96" t="s">
        <v>440</v>
      </c>
    </row>
    <row r="97" spans="2:30" ht="13.5" thickBot="1" x14ac:dyDescent="0.25">
      <c r="B97" s="358"/>
      <c r="C97" s="162"/>
      <c r="D97" s="12" t="s">
        <v>207</v>
      </c>
      <c r="E97" s="845">
        <v>0</v>
      </c>
      <c r="F97" s="267"/>
      <c r="G97" s="357" t="s">
        <v>48</v>
      </c>
      <c r="H97" s="319"/>
      <c r="I97" s="821"/>
      <c r="J97" s="319"/>
      <c r="K97" s="12" t="s">
        <v>207</v>
      </c>
      <c r="L97" s="845">
        <v>0</v>
      </c>
      <c r="M97" s="267"/>
      <c r="N97" s="357" t="s">
        <v>48</v>
      </c>
      <c r="O97" s="319"/>
      <c r="P97" s="821"/>
      <c r="Q97" s="319"/>
      <c r="R97" s="12" t="s">
        <v>207</v>
      </c>
      <c r="S97" s="845">
        <v>0</v>
      </c>
      <c r="T97" s="267"/>
      <c r="U97" s="357" t="s">
        <v>48</v>
      </c>
      <c r="V97" s="319"/>
      <c r="W97" s="821"/>
      <c r="X97" s="319"/>
      <c r="Y97" s="12" t="s">
        <v>207</v>
      </c>
      <c r="Z97" s="845">
        <v>0</v>
      </c>
      <c r="AA97" s="267"/>
      <c r="AB97" s="357" t="s">
        <v>48</v>
      </c>
      <c r="AD97" s="358"/>
    </row>
    <row r="98" spans="2:30" ht="13.5" thickBot="1" x14ac:dyDescent="0.25">
      <c r="B98" s="358"/>
      <c r="D98" s="12" t="s">
        <v>451</v>
      </c>
      <c r="E98" s="841">
        <v>0</v>
      </c>
      <c r="F98" s="846"/>
      <c r="G98" s="1445">
        <v>1</v>
      </c>
      <c r="H98" s="319"/>
      <c r="I98" s="821"/>
      <c r="J98" s="319"/>
      <c r="K98" s="12" t="s">
        <v>451</v>
      </c>
      <c r="L98" s="841">
        <v>0</v>
      </c>
      <c r="M98" s="846"/>
      <c r="N98" s="1445">
        <v>1</v>
      </c>
      <c r="O98" s="319"/>
      <c r="P98" s="821"/>
      <c r="Q98" s="319"/>
      <c r="R98" s="12" t="s">
        <v>451</v>
      </c>
      <c r="S98" s="841">
        <v>0</v>
      </c>
      <c r="T98" s="846"/>
      <c r="U98" s="1445">
        <v>1</v>
      </c>
      <c r="V98" s="319"/>
      <c r="W98" s="821"/>
      <c r="X98" s="319"/>
      <c r="Y98" s="12" t="s">
        <v>451</v>
      </c>
      <c r="Z98" s="841">
        <v>0</v>
      </c>
      <c r="AA98" s="846"/>
      <c r="AB98" s="1445">
        <v>1</v>
      </c>
      <c r="AD98" s="358"/>
    </row>
    <row r="99" spans="2:30" ht="13.5" thickBot="1" x14ac:dyDescent="0.25">
      <c r="B99" s="358"/>
      <c r="D99" s="12" t="s">
        <v>19</v>
      </c>
      <c r="E99" s="845">
        <v>0</v>
      </c>
      <c r="F99" s="846"/>
      <c r="G99" s="847"/>
      <c r="H99" s="319"/>
      <c r="I99" s="821"/>
      <c r="J99" s="319"/>
      <c r="K99" s="12" t="s">
        <v>19</v>
      </c>
      <c r="L99" s="845">
        <v>0</v>
      </c>
      <c r="M99" s="846"/>
      <c r="N99" s="847"/>
      <c r="O99" s="319"/>
      <c r="P99" s="821"/>
      <c r="Q99" s="319"/>
      <c r="R99" s="12" t="s">
        <v>19</v>
      </c>
      <c r="S99" s="845">
        <v>0</v>
      </c>
      <c r="T99" s="846"/>
      <c r="U99" s="847"/>
      <c r="V99" s="319"/>
      <c r="W99" s="821"/>
      <c r="X99" s="319"/>
      <c r="Y99" s="12" t="s">
        <v>19</v>
      </c>
      <c r="Z99" s="845">
        <v>0</v>
      </c>
      <c r="AA99" s="846"/>
      <c r="AB99" s="847"/>
      <c r="AD99" s="358"/>
    </row>
    <row r="100" spans="2:30" ht="13.5" thickBot="1" x14ac:dyDescent="0.25">
      <c r="B100" s="358"/>
      <c r="D100" s="2" t="s">
        <v>551</v>
      </c>
      <c r="E100" s="1207">
        <f>'10. Verot'!$C$17/100</f>
        <v>1.3709677419354838</v>
      </c>
      <c r="F100" s="848"/>
      <c r="G100" s="849"/>
      <c r="H100" s="319"/>
      <c r="I100" s="821"/>
      <c r="J100" s="319"/>
      <c r="K100" s="2" t="s">
        <v>551</v>
      </c>
      <c r="L100" s="1207">
        <f>'10. Verot'!$C$17/100</f>
        <v>1.3709677419354838</v>
      </c>
      <c r="M100" s="848"/>
      <c r="N100" s="849"/>
      <c r="O100" s="319"/>
      <c r="P100" s="821"/>
      <c r="Q100" s="319"/>
      <c r="R100" s="2" t="s">
        <v>551</v>
      </c>
      <c r="S100" s="1207">
        <f>'10. Verot'!$C$17/100</f>
        <v>1.3709677419354838</v>
      </c>
      <c r="T100" s="848"/>
      <c r="U100" s="849"/>
      <c r="V100" s="319"/>
      <c r="W100" s="821"/>
      <c r="X100" s="319"/>
      <c r="Y100" s="2" t="s">
        <v>551</v>
      </c>
      <c r="Z100" s="1207">
        <f>'10. Verot'!$C$17/100</f>
        <v>1.3709677419354838</v>
      </c>
      <c r="AA100" s="848"/>
      <c r="AB100" s="849"/>
      <c r="AD100" s="358"/>
    </row>
    <row r="101" spans="2:30" ht="13.5" thickBot="1" x14ac:dyDescent="0.25">
      <c r="B101" s="358"/>
      <c r="D101" s="12" t="s">
        <v>203</v>
      </c>
      <c r="E101" s="423">
        <f>IF(G64=0,0,E97*E99*E100)</f>
        <v>0</v>
      </c>
      <c r="F101" s="838"/>
      <c r="G101" s="712"/>
      <c r="H101" s="319"/>
      <c r="I101" s="821"/>
      <c r="J101" s="319"/>
      <c r="K101" s="12" t="s">
        <v>203</v>
      </c>
      <c r="L101" s="423">
        <f>IF(N64=0,0,L97*L99*L100)</f>
        <v>0</v>
      </c>
      <c r="M101" s="838"/>
      <c r="N101" s="712"/>
      <c r="O101" s="319"/>
      <c r="P101" s="821"/>
      <c r="Q101" s="319"/>
      <c r="R101" s="12" t="s">
        <v>203</v>
      </c>
      <c r="S101" s="423">
        <f>IF(U64=0,0,S97*S99*S100)</f>
        <v>0</v>
      </c>
      <c r="T101" s="838"/>
      <c r="U101" s="712"/>
      <c r="V101" s="319"/>
      <c r="W101" s="821"/>
      <c r="X101" s="319"/>
      <c r="Y101" s="12" t="s">
        <v>203</v>
      </c>
      <c r="Z101" s="423">
        <f>IF(AB64=0,0,Z97*Z99*Z100)</f>
        <v>0</v>
      </c>
      <c r="AA101" s="838"/>
      <c r="AB101" s="712"/>
      <c r="AD101" s="358"/>
    </row>
    <row r="102" spans="2:30" ht="13.5" thickBot="1" x14ac:dyDescent="0.25">
      <c r="B102" s="358"/>
      <c r="D102" s="12" t="s">
        <v>206</v>
      </c>
      <c r="E102" s="423">
        <f>IF(G64=0,0,E98*E97*G98)</f>
        <v>0</v>
      </c>
      <c r="F102" s="838"/>
      <c r="G102" s="712"/>
      <c r="H102" s="319"/>
      <c r="I102" s="821"/>
      <c r="J102" s="319"/>
      <c r="K102" s="12" t="s">
        <v>206</v>
      </c>
      <c r="L102" s="423">
        <f>IF(N64=0,0,L98*L97*N98)</f>
        <v>0</v>
      </c>
      <c r="M102" s="838"/>
      <c r="N102" s="712"/>
      <c r="O102" s="319"/>
      <c r="P102" s="821"/>
      <c r="Q102" s="319"/>
      <c r="R102" s="12" t="s">
        <v>206</v>
      </c>
      <c r="S102" s="423">
        <f>IF(U64=0,0,S98*S97*U98)</f>
        <v>0</v>
      </c>
      <c r="T102" s="838"/>
      <c r="U102" s="712"/>
      <c r="V102" s="319"/>
      <c r="W102" s="821"/>
      <c r="X102" s="319"/>
      <c r="Y102" s="12" t="s">
        <v>206</v>
      </c>
      <c r="Z102" s="423">
        <f>IF(AB64=0,0,Z98*Z97*AB98)</f>
        <v>0</v>
      </c>
      <c r="AA102" s="838"/>
      <c r="AB102" s="712"/>
      <c r="AD102" s="358"/>
    </row>
    <row r="103" spans="2:30" ht="13.5" thickBot="1" x14ac:dyDescent="0.25">
      <c r="B103" s="358"/>
      <c r="D103" s="104" t="s">
        <v>530</v>
      </c>
      <c r="E103" s="423">
        <f>IF(G64=0,0,E102*'11. Työtunnit'!$C$7)</f>
        <v>0</v>
      </c>
      <c r="F103" s="839"/>
      <c r="G103" s="840"/>
      <c r="H103" s="319"/>
      <c r="I103" s="821"/>
      <c r="J103" s="319"/>
      <c r="K103" s="104" t="s">
        <v>530</v>
      </c>
      <c r="L103" s="423">
        <f>IF(N64=0,0,L102*'11. Työtunnit'!$C$7)</f>
        <v>0</v>
      </c>
      <c r="M103" s="839"/>
      <c r="N103" s="840"/>
      <c r="O103" s="319"/>
      <c r="P103" s="821"/>
      <c r="Q103" s="319"/>
      <c r="R103" s="104" t="s">
        <v>530</v>
      </c>
      <c r="S103" s="423">
        <f>IF(U64=0,0,S102*'11. Työtunnit'!$C$7)</f>
        <v>0</v>
      </c>
      <c r="T103" s="839"/>
      <c r="U103" s="840"/>
      <c r="V103" s="319"/>
      <c r="W103" s="821"/>
      <c r="X103" s="319"/>
      <c r="Y103" s="104" t="s">
        <v>530</v>
      </c>
      <c r="Z103" s="423">
        <f>IF(AB64=0,0,Z102*'11. Työtunnit'!$C$7)</f>
        <v>0</v>
      </c>
      <c r="AA103" s="839"/>
      <c r="AB103" s="840"/>
      <c r="AD103" s="358"/>
    </row>
    <row r="104" spans="2:30" ht="13.5" thickBot="1" x14ac:dyDescent="0.25">
      <c r="B104" s="358"/>
      <c r="D104" s="742"/>
      <c r="E104" s="257"/>
      <c r="F104" s="257"/>
      <c r="G104" s="257"/>
      <c r="H104" s="319"/>
      <c r="I104" s="821"/>
      <c r="J104" s="319"/>
      <c r="K104" s="319"/>
      <c r="L104" s="319"/>
      <c r="M104" s="257"/>
      <c r="N104" s="257"/>
      <c r="O104" s="319"/>
      <c r="P104" s="821"/>
      <c r="Q104" s="319"/>
      <c r="R104" s="319"/>
      <c r="S104" s="257"/>
      <c r="T104" s="257"/>
      <c r="U104" s="257"/>
      <c r="V104" s="319"/>
      <c r="W104" s="821"/>
      <c r="X104" s="319"/>
      <c r="Y104" s="319"/>
      <c r="Z104" s="257"/>
      <c r="AA104" s="257"/>
      <c r="AB104" s="257"/>
      <c r="AD104" s="358"/>
    </row>
    <row r="105" spans="2:30" ht="13.5" thickBot="1" x14ac:dyDescent="0.25">
      <c r="B105" s="358"/>
      <c r="D105" s="94" t="s">
        <v>175</v>
      </c>
      <c r="E105" s="850"/>
      <c r="F105" s="851"/>
      <c r="G105" s="852"/>
      <c r="H105" s="319"/>
      <c r="I105" s="821"/>
      <c r="J105" s="319"/>
      <c r="K105" s="94" t="s">
        <v>175</v>
      </c>
      <c r="L105" s="850"/>
      <c r="M105" s="851"/>
      <c r="N105" s="852"/>
      <c r="O105" s="319"/>
      <c r="P105" s="821"/>
      <c r="Q105" s="319"/>
      <c r="R105" s="94" t="s">
        <v>175</v>
      </c>
      <c r="S105" s="850"/>
      <c r="T105" s="851"/>
      <c r="U105" s="852"/>
      <c r="V105" s="319"/>
      <c r="W105" s="821"/>
      <c r="X105" s="319"/>
      <c r="Y105" s="94" t="s">
        <v>175</v>
      </c>
      <c r="Z105" s="850"/>
      <c r="AA105" s="851"/>
      <c r="AB105" s="852"/>
      <c r="AD105" s="358"/>
    </row>
    <row r="106" spans="2:30" ht="13.5" thickBot="1" x14ac:dyDescent="0.25">
      <c r="B106" s="358"/>
      <c r="D106" s="315" t="s">
        <v>174</v>
      </c>
      <c r="E106" s="1447">
        <v>0</v>
      </c>
      <c r="F106" s="853"/>
      <c r="G106" s="854"/>
      <c r="H106" s="319"/>
      <c r="I106" s="821"/>
      <c r="J106" s="319"/>
      <c r="K106" s="315" t="s">
        <v>174</v>
      </c>
      <c r="L106" s="1447">
        <v>0</v>
      </c>
      <c r="M106" s="853"/>
      <c r="N106" s="855"/>
      <c r="O106" s="319"/>
      <c r="P106" s="821"/>
      <c r="Q106" s="319"/>
      <c r="R106" s="315" t="s">
        <v>174</v>
      </c>
      <c r="S106" s="1447">
        <v>0</v>
      </c>
      <c r="T106" s="853"/>
      <c r="U106" s="855"/>
      <c r="V106" s="319"/>
      <c r="W106" s="821"/>
      <c r="X106" s="319"/>
      <c r="Y106" s="315" t="s">
        <v>174</v>
      </c>
      <c r="Z106" s="1447">
        <v>0</v>
      </c>
      <c r="AA106" s="853"/>
      <c r="AB106" s="855"/>
      <c r="AD106" s="358"/>
    </row>
    <row r="107" spans="2:30" ht="13.5" thickBot="1" x14ac:dyDescent="0.25">
      <c r="B107" s="358"/>
      <c r="D107" s="317" t="s">
        <v>208</v>
      </c>
      <c r="E107" s="418">
        <f>IF(G64=0,0,'3 Saalis'!D131/100*'2.1 Verkkopyynti'!E106)</f>
        <v>0</v>
      </c>
      <c r="F107" s="148"/>
      <c r="G107" s="856"/>
      <c r="H107" s="319"/>
      <c r="I107" s="821"/>
      <c r="J107" s="319"/>
      <c r="K107" s="317" t="s">
        <v>208</v>
      </c>
      <c r="L107" s="418">
        <f>IF(N64=0,0,'3 Saalis'!D153/100*L106)</f>
        <v>0</v>
      </c>
      <c r="M107" s="148"/>
      <c r="N107" s="149"/>
      <c r="O107" s="319"/>
      <c r="P107" s="821"/>
      <c r="Q107" s="319"/>
      <c r="R107" s="317" t="s">
        <v>208</v>
      </c>
      <c r="S107" s="418">
        <f>IF(U64=0,0,'3 Saalis'!D175/100*S106)</f>
        <v>0</v>
      </c>
      <c r="T107" s="148"/>
      <c r="U107" s="149"/>
      <c r="V107" s="319"/>
      <c r="W107" s="821"/>
      <c r="X107" s="319"/>
      <c r="Y107" s="317" t="s">
        <v>208</v>
      </c>
      <c r="Z107" s="418">
        <f>IF(AB64=0,0,'3 Saalis'!D197/100*'2.1 Verkkopyynti'!Z106)</f>
        <v>0</v>
      </c>
      <c r="AA107" s="148"/>
      <c r="AB107" s="149"/>
      <c r="AD107" s="358"/>
    </row>
    <row r="108" spans="2:30" ht="13.5" thickBot="1" x14ac:dyDescent="0.25">
      <c r="B108" s="358"/>
      <c r="D108" s="317" t="s">
        <v>213</v>
      </c>
      <c r="E108" s="418">
        <f>IF(G64=0,0,E107*'11. Työtunnit'!$C$7)</f>
        <v>0</v>
      </c>
      <c r="F108" s="148"/>
      <c r="G108" s="1358" t="s">
        <v>626</v>
      </c>
      <c r="H108" s="319"/>
      <c r="I108" s="821"/>
      <c r="J108" s="319"/>
      <c r="K108" s="317" t="s">
        <v>213</v>
      </c>
      <c r="L108" s="418">
        <f>IF(N64=0,0,L107*'11. Työtunnit'!$C$7)</f>
        <v>0</v>
      </c>
      <c r="M108" s="148"/>
      <c r="N108" s="1358" t="s">
        <v>626</v>
      </c>
      <c r="O108" s="319"/>
      <c r="P108" s="821"/>
      <c r="Q108" s="319"/>
      <c r="R108" s="317" t="s">
        <v>213</v>
      </c>
      <c r="S108" s="418">
        <f>IF(U64=0,0,S107*'11. Työtunnit'!$C$7)</f>
        <v>0</v>
      </c>
      <c r="T108" s="148"/>
      <c r="U108" s="1358" t="s">
        <v>626</v>
      </c>
      <c r="V108" s="319"/>
      <c r="W108" s="821"/>
      <c r="X108" s="319"/>
      <c r="Y108" s="317" t="s">
        <v>213</v>
      </c>
      <c r="Z108" s="418">
        <f>IF(AB64=0,0,Z107*'11. Työtunnit'!$C$7)</f>
        <v>0</v>
      </c>
      <c r="AA108" s="148"/>
      <c r="AB108" s="1358" t="s">
        <v>626</v>
      </c>
      <c r="AD108" s="358"/>
    </row>
    <row r="109" spans="2:30" ht="13.5" thickBot="1" x14ac:dyDescent="0.25">
      <c r="B109" s="358"/>
      <c r="D109" s="1199" t="s">
        <v>312</v>
      </c>
      <c r="E109" s="419">
        <f>IF(G64=0,0,(('3 Saalis'!D119-(('4 Myynti'!D31+'4 Myynti'!D40)*(IF('3 Saalis'!D9=0,0,'3 Saalis'!D119/'3 Saalis'!D9))))*'5 Kalan alkukäsittely satamassa'!$D$48)+(('3 Saalis'!D127-(('4 Myynti'!D151+'4 Myynti'!D155+'4 Myynti'!D156)*(IF('3 Saalis'!D17=0,0,'3 Saalis'!D127/'3 Saalis'!D17))))*'5 Kalan alkukäsittely satamassa'!$D$48)+(('3 Saalis'!D128-(('4 Myynti'!D165+'4 Myynti'!D169+'4 Myynti'!D170)*(IF('3 Saalis'!D18=0,0,'3 Saalis'!D128/'3 Saalis'!D18))))*'5 Kalan alkukäsittely satamassa'!$D$48)+(('3 Saalis'!D130-(('4 Myynti'!D189+'4 Myynti'!D193+'4 Myynti'!D194)*(IF('3 Saalis'!D20=0,0,'3 Saalis'!D130/'3 Saalis'!D20))))*'5 Kalan alkukäsittely satamassa'!$D$48)+('3 Saalis'!D131-'3 Saalis'!D119-'3 Saalis'!D127-'3 Saalis'!D128-'3 Saalis'!D129-'3 Saalis'!D130)*'5 Kalan alkukäsittely satamassa'!$D$48)</f>
        <v>0</v>
      </c>
      <c r="F109" s="92"/>
      <c r="G109" s="420">
        <f>IF(G64=0,0,E109*'5 Kalan alkukäsittely satamassa'!G46/1000)</f>
        <v>0</v>
      </c>
      <c r="H109" s="319"/>
      <c r="I109" s="821"/>
      <c r="J109" s="319"/>
      <c r="K109" s="104" t="s">
        <v>312</v>
      </c>
      <c r="L109" s="419">
        <f>IF(N64=0,0,(('3 Saalis'!D141-(('4 Myynti'!D31+'4 Myynti'!D40)*(IF('3 Saalis'!D9=0,0,'3 Saalis'!D141/'3 Saalis'!D9))))*'5 Kalan alkukäsittely satamassa'!$D$48)+(('3 Saalis'!D149-(('4 Myynti'!D151+'4 Myynti'!D155+'4 Myynti'!D156)*(IF('3 Saalis'!D17=0,0,'3 Saalis'!D149/'3 Saalis'!D17))))*'5 Kalan alkukäsittely satamassa'!$D$48)+(('3 Saalis'!D150-(('4 Myynti'!D165+'4 Myynti'!D169+'4 Myynti'!D170)*(IF('3 Saalis'!D18=0,0,'3 Saalis'!D150/'3 Saalis'!D18))))*'5 Kalan alkukäsittely satamassa'!$D$48)+(('3 Saalis'!D152-(('4 Myynti'!D189+'4 Myynti'!D193+'4 Myynti'!D194)*(IF('3 Saalis'!D20=0,0,'3 Saalis'!D152/'3 Saalis'!D20))))*'5 Kalan alkukäsittely satamassa'!$D$48)+('3 Saalis'!D153-'3 Saalis'!D141-'3 Saalis'!D149-'3 Saalis'!D150-'3 Saalis'!D151-'3 Saalis'!D152)*'5 Kalan alkukäsittely satamassa'!$D$48)</f>
        <v>0</v>
      </c>
      <c r="M109" s="92"/>
      <c r="N109" s="420">
        <f>IF(N64=0,0,L109*'5 Kalan alkukäsittely satamassa'!G46/1000)</f>
        <v>0</v>
      </c>
      <c r="O109" s="319"/>
      <c r="P109" s="821"/>
      <c r="Q109" s="319"/>
      <c r="R109" s="104" t="s">
        <v>312</v>
      </c>
      <c r="S109" s="419">
        <f>IF(U64=0,0,(('3 Saalis'!D163-(('4 Myynti'!D31+'4 Myynti'!D40)*(IF('3 Saalis'!D9=0,0,'3 Saalis'!D163/'3 Saalis'!D9))))*'5 Kalan alkukäsittely satamassa'!$D$48)+(('3 Saalis'!D171-(('4 Myynti'!D151+'4 Myynti'!D155+'4 Myynti'!D156)*(IF('3 Saalis'!D17=0,0,'3 Saalis'!D171/'3 Saalis'!D17))))*'5 Kalan alkukäsittely satamassa'!$D$48)+(('3 Saalis'!D172-(('4 Myynti'!D165+'4 Myynti'!D169+'4 Myynti'!D170)*(IF('3 Saalis'!D18=0,0,'3 Saalis'!D172/'3 Saalis'!D18))))*'5 Kalan alkukäsittely satamassa'!$D$48)+(('3 Saalis'!D174-(('4 Myynti'!D189+'4 Myynti'!D193+'4 Myynti'!D194)*(IF('3 Saalis'!D20=0,0,'3 Saalis'!D174/'3 Saalis'!D20))))*'5 Kalan alkukäsittely satamassa'!$D$48)+('3 Saalis'!D175-'3 Saalis'!D163-'3 Saalis'!D171-'3 Saalis'!D172-'3 Saalis'!D173-'3 Saalis'!D174)*'5 Kalan alkukäsittely satamassa'!$D$48)</f>
        <v>0</v>
      </c>
      <c r="T109" s="92"/>
      <c r="U109" s="420">
        <f>IF(U64=0,0,S109*'5 Kalan alkukäsittely satamassa'!G46/1000)</f>
        <v>0</v>
      </c>
      <c r="V109" s="319"/>
      <c r="W109" s="821"/>
      <c r="X109" s="319"/>
      <c r="Y109" s="104" t="s">
        <v>312</v>
      </c>
      <c r="Z109" s="419">
        <f>IF(AB64=0,0,(('3 Saalis'!D185-(('4 Myynti'!D31+'4 Myynti'!D40)*(IF('3 Saalis'!D9=0,0,'3 Saalis'!D185/'3 Saalis'!D9))))*'5 Kalan alkukäsittely satamassa'!$D$48)+(('3 Saalis'!D193-(('4 Myynti'!D151+'4 Myynti'!D155+'4 Myynti'!D156)*(IF('3 Saalis'!D17=0,0,'3 Saalis'!D193/'3 Saalis'!D17))))*'5 Kalan alkukäsittely satamassa'!$D$48)+(('3 Saalis'!D194-(('4 Myynti'!D165+'4 Myynti'!D169+'4 Myynti'!D170)*(IF('3 Saalis'!D18=0,0,'3 Saalis'!D194/'3 Saalis'!D18))))*'5 Kalan alkukäsittely satamassa'!$D$48)+(('3 Saalis'!D196-(('4 Myynti'!D189+'4 Myynti'!D193+'4 Myynti'!D194)*(IF('3 Saalis'!D20=0,0,'3 Saalis'!D196/'3 Saalis'!D20))))*'5 Kalan alkukäsittely satamassa'!$D$48)+('3 Saalis'!D197-'3 Saalis'!D185-'3 Saalis'!D193-'3 Saalis'!D194-'3 Saalis'!D195-'3 Saalis'!D196)*'5 Kalan alkukäsittely satamassa'!$D$48)</f>
        <v>0</v>
      </c>
      <c r="AA109" s="92"/>
      <c r="AB109" s="420">
        <f>IF(AB64=0,0,Z109*'5 Kalan alkukäsittely satamassa'!G46/1000)</f>
        <v>0</v>
      </c>
      <c r="AD109" s="358"/>
    </row>
    <row r="110" spans="2:30" ht="13.5" thickBot="1" x14ac:dyDescent="0.25">
      <c r="B110" s="358"/>
      <c r="D110" s="319"/>
      <c r="E110" s="319" t="s">
        <v>1</v>
      </c>
      <c r="F110" s="319"/>
      <c r="G110" s="319"/>
      <c r="H110" s="319"/>
      <c r="I110" s="821"/>
      <c r="J110" s="319"/>
      <c r="K110" s="319"/>
      <c r="L110" s="319"/>
      <c r="M110" s="319"/>
      <c r="N110" s="319"/>
      <c r="O110" s="319"/>
      <c r="P110" s="821"/>
      <c r="Q110" s="319"/>
      <c r="R110" s="319"/>
      <c r="S110" s="319"/>
      <c r="T110" s="319"/>
      <c r="U110" s="319"/>
      <c r="V110" s="319"/>
      <c r="W110" s="821"/>
      <c r="X110" s="319"/>
      <c r="Y110" s="319"/>
      <c r="Z110" s="319"/>
      <c r="AA110" s="319"/>
      <c r="AB110" s="319"/>
      <c r="AD110" s="358"/>
    </row>
    <row r="111" spans="2:30" ht="13.5" thickBot="1" x14ac:dyDescent="0.25">
      <c r="B111" s="358"/>
      <c r="D111" s="61" t="s">
        <v>338</v>
      </c>
      <c r="E111" s="352"/>
      <c r="F111" s="352"/>
      <c r="G111" s="745"/>
      <c r="H111" s="319"/>
      <c r="I111" s="821"/>
      <c r="J111" s="319"/>
      <c r="K111" s="61" t="s">
        <v>338</v>
      </c>
      <c r="L111" s="352"/>
      <c r="M111" s="352"/>
      <c r="N111" s="745"/>
      <c r="O111" s="319"/>
      <c r="P111" s="821"/>
      <c r="Q111" s="319"/>
      <c r="R111" s="61" t="s">
        <v>338</v>
      </c>
      <c r="S111" s="352"/>
      <c r="T111" s="352"/>
      <c r="U111" s="745"/>
      <c r="V111" s="319"/>
      <c r="W111" s="821"/>
      <c r="X111" s="319"/>
      <c r="Y111" s="61" t="s">
        <v>338</v>
      </c>
      <c r="Z111" s="352"/>
      <c r="AA111" s="352"/>
      <c r="AB111" s="745"/>
      <c r="AD111" s="358"/>
    </row>
    <row r="112" spans="2:30" ht="13.5" thickBot="1" x14ac:dyDescent="0.25">
      <c r="B112" s="358"/>
      <c r="D112" s="317" t="s">
        <v>199</v>
      </c>
      <c r="E112" s="1448">
        <v>0</v>
      </c>
      <c r="F112" s="251"/>
      <c r="G112" s="713" t="s">
        <v>48</v>
      </c>
      <c r="H112" s="319"/>
      <c r="I112" s="821"/>
      <c r="J112" s="319"/>
      <c r="K112" s="315" t="s">
        <v>199</v>
      </c>
      <c r="L112" s="845">
        <v>0</v>
      </c>
      <c r="M112" s="251"/>
      <c r="N112" s="713" t="s">
        <v>48</v>
      </c>
      <c r="O112" s="319"/>
      <c r="P112" s="821"/>
      <c r="Q112" s="319"/>
      <c r="R112" s="315" t="s">
        <v>199</v>
      </c>
      <c r="S112" s="845">
        <v>0</v>
      </c>
      <c r="T112" s="251"/>
      <c r="U112" s="713" t="s">
        <v>48</v>
      </c>
      <c r="V112" s="319"/>
      <c r="W112" s="821"/>
      <c r="X112" s="319"/>
      <c r="Y112" s="315" t="s">
        <v>199</v>
      </c>
      <c r="Z112" s="845">
        <v>0</v>
      </c>
      <c r="AA112" s="251"/>
      <c r="AB112" s="713" t="s">
        <v>48</v>
      </c>
      <c r="AD112" s="358"/>
    </row>
    <row r="113" spans="2:30" ht="13.5" thickBot="1" x14ac:dyDescent="0.25">
      <c r="B113" s="358"/>
      <c r="D113" s="317" t="s">
        <v>193</v>
      </c>
      <c r="E113" s="1449">
        <v>0</v>
      </c>
      <c r="F113" s="858"/>
      <c r="G113" s="1445">
        <v>1</v>
      </c>
      <c r="H113" s="319"/>
      <c r="I113" s="821"/>
      <c r="J113" s="319"/>
      <c r="K113" s="317" t="s">
        <v>193</v>
      </c>
      <c r="L113" s="841">
        <v>0</v>
      </c>
      <c r="M113" s="858"/>
      <c r="N113" s="1445">
        <v>1</v>
      </c>
      <c r="O113" s="319"/>
      <c r="P113" s="821"/>
      <c r="Q113" s="319"/>
      <c r="R113" s="317" t="s">
        <v>193</v>
      </c>
      <c r="S113" s="841">
        <v>0</v>
      </c>
      <c r="T113" s="858"/>
      <c r="U113" s="1445">
        <v>1</v>
      </c>
      <c r="V113" s="319"/>
      <c r="W113" s="821"/>
      <c r="X113" s="319"/>
      <c r="Y113" s="317" t="s">
        <v>193</v>
      </c>
      <c r="Z113" s="841">
        <v>0</v>
      </c>
      <c r="AA113" s="858"/>
      <c r="AB113" s="1445">
        <v>1</v>
      </c>
      <c r="AD113" s="358"/>
    </row>
    <row r="114" spans="2:30" ht="13.5" thickBot="1" x14ac:dyDescent="0.25">
      <c r="B114" s="358"/>
      <c r="D114" s="317" t="s">
        <v>192</v>
      </c>
      <c r="E114" s="845">
        <v>0</v>
      </c>
      <c r="F114" s="255"/>
      <c r="G114" s="256"/>
      <c r="H114" s="319"/>
      <c r="I114" s="821"/>
      <c r="J114" s="319"/>
      <c r="K114" s="317" t="s">
        <v>192</v>
      </c>
      <c r="L114" s="845">
        <v>0</v>
      </c>
      <c r="M114" s="255"/>
      <c r="N114" s="256"/>
      <c r="O114" s="319"/>
      <c r="P114" s="821"/>
      <c r="Q114" s="319"/>
      <c r="R114" s="317" t="s">
        <v>192</v>
      </c>
      <c r="S114" s="845">
        <v>0</v>
      </c>
      <c r="T114" s="255"/>
      <c r="U114" s="256"/>
      <c r="V114" s="319"/>
      <c r="W114" s="821"/>
      <c r="X114" s="319"/>
      <c r="Y114" s="317" t="s">
        <v>192</v>
      </c>
      <c r="Z114" s="845">
        <v>0</v>
      </c>
      <c r="AA114" s="255"/>
      <c r="AB114" s="256"/>
      <c r="AD114" s="358"/>
    </row>
    <row r="115" spans="2:30" ht="13.5" thickBot="1" x14ac:dyDescent="0.25">
      <c r="B115" s="358"/>
      <c r="D115" s="12" t="s">
        <v>203</v>
      </c>
      <c r="E115" s="618">
        <f>IF(G64=0,0,E112*E114*E82/100*E83)</f>
        <v>0</v>
      </c>
      <c r="F115" s="859"/>
      <c r="G115" s="856"/>
      <c r="H115" s="319"/>
      <c r="I115" s="821"/>
      <c r="J115" s="319"/>
      <c r="K115" s="12" t="s">
        <v>203</v>
      </c>
      <c r="L115" s="617">
        <f>IF(N64=0,0,L112*L114*L82/100*L83)</f>
        <v>0</v>
      </c>
      <c r="M115" s="859"/>
      <c r="N115" s="856"/>
      <c r="O115" s="319"/>
      <c r="P115" s="821"/>
      <c r="Q115" s="319"/>
      <c r="R115" s="12" t="s">
        <v>203</v>
      </c>
      <c r="S115" s="617">
        <f>IF(U64=0,0,S112*S114*S82/100*S83)</f>
        <v>0</v>
      </c>
      <c r="T115" s="859"/>
      <c r="U115" s="856"/>
      <c r="V115" s="319"/>
      <c r="W115" s="821"/>
      <c r="X115" s="319"/>
      <c r="Y115" s="12" t="s">
        <v>203</v>
      </c>
      <c r="Z115" s="617">
        <f>IF(AB64=0,0,Z112*Z114*Z82/100*Z83)</f>
        <v>0</v>
      </c>
      <c r="AA115" s="859"/>
      <c r="AB115" s="856"/>
      <c r="AD115" s="358"/>
    </row>
    <row r="116" spans="2:30" ht="13.5" thickBot="1" x14ac:dyDescent="0.25">
      <c r="B116" s="358"/>
      <c r="D116" s="104" t="s">
        <v>201</v>
      </c>
      <c r="E116" s="860">
        <f>IF(G64=0,0,G113*E113*E114*'11. Työtunnit'!$C$7)</f>
        <v>0</v>
      </c>
      <c r="F116" s="861"/>
      <c r="G116" s="862"/>
      <c r="H116" s="319"/>
      <c r="I116" s="821"/>
      <c r="J116" s="319"/>
      <c r="K116" s="104" t="s">
        <v>201</v>
      </c>
      <c r="L116" s="863">
        <f>IF(N64=0,0,N113*L113*L114*'11. Työtunnit'!$C$7)</f>
        <v>0</v>
      </c>
      <c r="M116" s="861"/>
      <c r="N116" s="862"/>
      <c r="O116" s="319"/>
      <c r="P116" s="821"/>
      <c r="Q116" s="319"/>
      <c r="R116" s="104" t="s">
        <v>201</v>
      </c>
      <c r="S116" s="863">
        <f>IF(U64=0,0,U113*S113*S114*'11. Työtunnit'!$C$7)</f>
        <v>0</v>
      </c>
      <c r="T116" s="861"/>
      <c r="U116" s="862"/>
      <c r="V116" s="319"/>
      <c r="W116" s="821"/>
      <c r="X116" s="319"/>
      <c r="Y116" s="104" t="s">
        <v>201</v>
      </c>
      <c r="Z116" s="863">
        <f>IF(AB64=0,0,AB113*Z113*Z114*'11. Työtunnit'!$C$7)</f>
        <v>0</v>
      </c>
      <c r="AA116" s="861"/>
      <c r="AB116" s="862"/>
      <c r="AD116" s="358"/>
    </row>
    <row r="117" spans="2:30" x14ac:dyDescent="0.2">
      <c r="B117" s="358"/>
      <c r="I117" s="350"/>
      <c r="P117" s="350"/>
      <c r="W117" s="350"/>
      <c r="AD117" s="358"/>
    </row>
    <row r="118" spans="2:30" x14ac:dyDescent="0.2">
      <c r="B118" s="358"/>
      <c r="I118" s="350"/>
      <c r="P118" s="350"/>
      <c r="W118" s="350"/>
      <c r="AD118" s="358"/>
    </row>
    <row r="299" spans="42:42" x14ac:dyDescent="0.2">
      <c r="AP299" s="319"/>
    </row>
  </sheetData>
  <sheetProtection password="C576" sheet="1" objects="1" scenarios="1"/>
  <mergeCells count="8">
    <mergeCell ref="E4:G4"/>
    <mergeCell ref="L4:N4"/>
    <mergeCell ref="S4:U4"/>
    <mergeCell ref="Z4:AB4"/>
    <mergeCell ref="E62:G62"/>
    <mergeCell ref="L62:N62"/>
    <mergeCell ref="S62:U62"/>
    <mergeCell ref="Z62:AB62"/>
  </mergeCells>
  <phoneticPr fontId="0" type="noConversion"/>
  <pageMargins left="0.74803149606299213" right="0.98425196850393704" top="0.98425196850393704" bottom="0.9055118110236221" header="0.51181102362204722" footer="0.51181102362204722"/>
  <pageSetup paperSize="9" scale="60" pageOrder="overThenDown" orientation="landscape" r:id="rId1"/>
  <headerFooter alignWithMargins="0"/>
  <colBreaks count="1" manualBreakCount="1">
    <brk id="35" max="1048575" man="1"/>
  </colBreaks>
  <legacyDrawing r:id="rId2"/>
  <picture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W204"/>
  <sheetViews>
    <sheetView showGridLines="0" zoomScaleNormal="100" zoomScaleSheetLayoutView="51" workbookViewId="0">
      <selection activeCell="H27" sqref="H27"/>
    </sheetView>
  </sheetViews>
  <sheetFormatPr defaultRowHeight="12.75" x14ac:dyDescent="0.2"/>
  <cols>
    <col min="1" max="1" width="1.7109375" customWidth="1"/>
    <col min="2" max="2" width="0.7109375" customWidth="1"/>
    <col min="3" max="3" width="3.85546875" customWidth="1"/>
    <col min="4" max="4" width="50.7109375" customWidth="1"/>
    <col min="5" max="5" width="11.42578125" customWidth="1"/>
    <col min="6" max="6" width="3" customWidth="1"/>
    <col min="7" max="7" width="15.42578125" customWidth="1"/>
    <col min="8" max="8" width="5.7109375" customWidth="1"/>
    <col min="9" max="9" width="0.7109375" style="1403" customWidth="1"/>
    <col min="10" max="10" width="5.7109375" customWidth="1"/>
    <col min="11" max="11" width="59.28515625" bestFit="1" customWidth="1"/>
    <col min="12" max="12" width="11.42578125" customWidth="1"/>
    <col min="14" max="14" width="16.7109375" customWidth="1"/>
    <col min="15" max="15" width="4" customWidth="1"/>
    <col min="16" max="16" width="0.5703125" customWidth="1"/>
    <col min="17" max="17" width="3.85546875" customWidth="1"/>
    <col min="18" max="18" width="51.85546875" customWidth="1"/>
    <col min="19" max="19" width="11.42578125" customWidth="1"/>
    <col min="20" max="20" width="9.140625" customWidth="1"/>
    <col min="21" max="21" width="16.7109375" customWidth="1"/>
    <col min="22" max="22" width="3.85546875" customWidth="1"/>
    <col min="23" max="23" width="0.85546875" customWidth="1"/>
    <col min="26" max="26" width="11.7109375" customWidth="1"/>
    <col min="27" max="27" width="3.5703125" customWidth="1"/>
    <col min="29" max="29" width="3.28515625" customWidth="1"/>
    <col min="30" max="30" width="58.85546875" bestFit="1" customWidth="1"/>
    <col min="34" max="34" width="2.7109375" customWidth="1"/>
    <col min="35" max="35" width="58.85546875" bestFit="1" customWidth="1"/>
    <col min="36" max="36" width="11" bestFit="1" customWidth="1"/>
    <col min="38" max="38" width="9.28515625" bestFit="1" customWidth="1"/>
    <col min="39" max="39" width="7.7109375" customWidth="1"/>
    <col min="40" max="40" width="1.7109375" style="24" hidden="1" customWidth="1"/>
    <col min="42" max="42" width="2" customWidth="1"/>
    <col min="43" max="43" width="52.140625" customWidth="1"/>
    <col min="44" max="44" width="12.140625" bestFit="1" customWidth="1"/>
    <col min="45" max="45" width="3" customWidth="1"/>
    <col min="46" max="46" width="15.5703125" customWidth="1"/>
    <col min="47" max="47" width="1.5703125" customWidth="1"/>
    <col min="48" max="48" width="0.42578125" customWidth="1"/>
    <col min="49" max="49" width="2.85546875" style="24" customWidth="1"/>
  </cols>
  <sheetData>
    <row r="1" spans="2:49" ht="13.5" thickBot="1" x14ac:dyDescent="0.25">
      <c r="B1" s="358"/>
      <c r="E1" t="s">
        <v>1</v>
      </c>
      <c r="G1" t="s">
        <v>1</v>
      </c>
      <c r="I1" s="746"/>
      <c r="P1" s="350"/>
      <c r="W1" s="15"/>
    </row>
    <row r="2" spans="2:49" ht="21" thickBot="1" x14ac:dyDescent="0.35">
      <c r="B2" s="358"/>
      <c r="D2" s="1" t="s">
        <v>20</v>
      </c>
      <c r="E2" s="11"/>
      <c r="G2" t="s">
        <v>1</v>
      </c>
      <c r="I2" s="746"/>
      <c r="K2" s="1" t="s">
        <v>20</v>
      </c>
      <c r="L2" s="11"/>
      <c r="P2" s="350"/>
      <c r="R2" s="1" t="s">
        <v>20</v>
      </c>
      <c r="S2" s="11"/>
      <c r="W2" s="15"/>
    </row>
    <row r="3" spans="2:49" ht="13.5" thickBot="1" x14ac:dyDescent="0.25">
      <c r="B3" s="358"/>
      <c r="D3" t="s">
        <v>1</v>
      </c>
      <c r="G3" t="s">
        <v>1</v>
      </c>
      <c r="I3" s="746"/>
      <c r="P3" s="350"/>
      <c r="W3" s="15"/>
    </row>
    <row r="4" spans="2:49" ht="18.75" thickBot="1" x14ac:dyDescent="0.3">
      <c r="B4" s="358"/>
      <c r="D4" s="1453" t="s">
        <v>539</v>
      </c>
      <c r="E4" s="744"/>
      <c r="F4" s="744"/>
      <c r="G4" s="745"/>
      <c r="I4" s="746"/>
      <c r="K4" s="1440" t="s">
        <v>643</v>
      </c>
      <c r="L4" s="1624" t="s">
        <v>337</v>
      </c>
      <c r="M4" s="1625"/>
      <c r="N4" s="1626"/>
      <c r="P4" s="350"/>
      <c r="R4" s="356" t="str">
        <f>K4</f>
        <v>PU-rysä1</v>
      </c>
      <c r="S4" s="1624" t="s">
        <v>335</v>
      </c>
      <c r="T4" s="1625"/>
      <c r="U4" s="1626"/>
      <c r="W4" s="15"/>
    </row>
    <row r="5" spans="2:49" ht="12" customHeight="1" thickBot="1" x14ac:dyDescent="0.25">
      <c r="B5" s="358"/>
      <c r="I5" s="746"/>
      <c r="P5" s="350"/>
      <c r="R5" s="43"/>
      <c r="S5" s="319"/>
      <c r="T5" s="319"/>
      <c r="U5" s="319"/>
      <c r="W5" s="15"/>
    </row>
    <row r="6" spans="2:49" ht="14.25" customHeight="1" thickBot="1" x14ac:dyDescent="0.25">
      <c r="B6" s="358"/>
      <c r="D6" s="61" t="s">
        <v>58</v>
      </c>
      <c r="E6" s="62"/>
      <c r="F6" s="65"/>
      <c r="G6" s="1441">
        <v>0</v>
      </c>
      <c r="I6" s="746"/>
      <c r="K6" s="61" t="s">
        <v>58</v>
      </c>
      <c r="L6" s="67"/>
      <c r="M6" s="67"/>
      <c r="N6" s="1441">
        <v>0</v>
      </c>
      <c r="P6" s="350"/>
      <c r="R6" s="61" t="s">
        <v>58</v>
      </c>
      <c r="S6" s="67"/>
      <c r="T6" s="67"/>
      <c r="U6" s="1441">
        <v>0</v>
      </c>
      <c r="W6" s="15"/>
      <c r="AW6"/>
    </row>
    <row r="7" spans="2:49" ht="13.5" thickBot="1" x14ac:dyDescent="0.25">
      <c r="B7" s="358"/>
      <c r="G7" s="34"/>
      <c r="I7" s="746"/>
      <c r="P7" s="350"/>
      <c r="S7" s="319"/>
      <c r="T7" s="319"/>
      <c r="U7" s="24"/>
      <c r="W7" s="15"/>
      <c r="AW7"/>
    </row>
    <row r="8" spans="2:49" ht="13.5" thickBot="1" x14ac:dyDescent="0.25">
      <c r="B8" s="358"/>
      <c r="D8" s="94" t="s">
        <v>60</v>
      </c>
      <c r="E8" s="156"/>
      <c r="F8" s="156" t="s">
        <v>1</v>
      </c>
      <c r="G8" s="157"/>
      <c r="I8" s="746"/>
      <c r="K8" s="61" t="s">
        <v>56</v>
      </c>
      <c r="L8" s="62"/>
      <c r="M8" s="62"/>
      <c r="N8" s="63"/>
      <c r="P8" s="350"/>
      <c r="R8" s="94" t="s">
        <v>56</v>
      </c>
      <c r="S8" s="353"/>
      <c r="T8" s="353"/>
      <c r="U8" s="909"/>
      <c r="W8" s="15"/>
      <c r="AW8"/>
    </row>
    <row r="9" spans="2:49" ht="13.5" thickBot="1" x14ac:dyDescent="0.25">
      <c r="B9" s="358"/>
      <c r="D9" s="375" t="s">
        <v>384</v>
      </c>
      <c r="E9" s="376"/>
      <c r="F9" s="377"/>
      <c r="G9" s="378"/>
      <c r="I9" s="746"/>
      <c r="K9" s="5" t="s">
        <v>15</v>
      </c>
      <c r="L9" s="60" t="s">
        <v>1</v>
      </c>
      <c r="M9" s="19"/>
      <c r="N9" s="26"/>
      <c r="P9" s="350"/>
      <c r="R9" s="5" t="s">
        <v>15</v>
      </c>
      <c r="S9" s="902" t="s">
        <v>1</v>
      </c>
      <c r="T9" s="826"/>
      <c r="U9" s="830"/>
      <c r="W9" s="15"/>
      <c r="AW9"/>
    </row>
    <row r="10" spans="2:49" ht="13.5" thickBot="1" x14ac:dyDescent="0.25">
      <c r="B10" s="358"/>
      <c r="D10" s="12" t="s">
        <v>54</v>
      </c>
      <c r="E10" s="1451">
        <v>0</v>
      </c>
      <c r="F10" s="12"/>
      <c r="G10" s="357" t="s">
        <v>43</v>
      </c>
      <c r="I10" s="746"/>
      <c r="K10" s="12" t="s">
        <v>2</v>
      </c>
      <c r="L10" s="1442">
        <v>0</v>
      </c>
      <c r="M10" s="12"/>
      <c r="N10" s="357" t="s">
        <v>43</v>
      </c>
      <c r="P10" s="350"/>
      <c r="R10" s="12" t="s">
        <v>2</v>
      </c>
      <c r="S10" s="1442">
        <v>0</v>
      </c>
      <c r="T10" s="827"/>
      <c r="U10" s="357" t="s">
        <v>43</v>
      </c>
      <c r="W10" s="15"/>
      <c r="AW10"/>
    </row>
    <row r="11" spans="2:49" ht="13.5" thickBot="1" x14ac:dyDescent="0.25">
      <c r="B11" s="358"/>
      <c r="D11" s="64" t="s">
        <v>55</v>
      </c>
      <c r="E11" s="1442">
        <v>0</v>
      </c>
      <c r="F11" s="302"/>
      <c r="G11" s="420">
        <f>IF(G6=0,0,E11-E10+1)</f>
        <v>0</v>
      </c>
      <c r="I11" s="746"/>
      <c r="K11" s="64" t="s">
        <v>3</v>
      </c>
      <c r="L11" s="1442">
        <v>0</v>
      </c>
      <c r="M11" s="302"/>
      <c r="N11" s="420">
        <f>IF(N6=0,0,L11-L10+1)</f>
        <v>0</v>
      </c>
      <c r="P11" s="350"/>
      <c r="R11" s="64" t="s">
        <v>3</v>
      </c>
      <c r="S11" s="1442">
        <v>0</v>
      </c>
      <c r="T11" s="893"/>
      <c r="U11" s="420">
        <f>IF(U6=0,0,S11-S10+1)</f>
        <v>0</v>
      </c>
      <c r="W11" s="15"/>
      <c r="AW11"/>
    </row>
    <row r="12" spans="2:49" ht="13.5" thickBot="1" x14ac:dyDescent="0.25">
      <c r="B12" s="358"/>
      <c r="D12" s="57" t="s">
        <v>406</v>
      </c>
      <c r="E12" s="838"/>
      <c r="F12" s="827"/>
      <c r="G12" s="829"/>
      <c r="I12" s="746"/>
      <c r="K12" s="57" t="s">
        <v>5</v>
      </c>
      <c r="L12" s="827"/>
      <c r="M12" s="827"/>
      <c r="N12" s="357" t="s">
        <v>59</v>
      </c>
      <c r="P12" s="350"/>
      <c r="R12" s="57" t="s">
        <v>5</v>
      </c>
      <c r="S12" s="827"/>
      <c r="T12" s="827"/>
      <c r="U12" s="357" t="s">
        <v>59</v>
      </c>
      <c r="W12" s="15"/>
      <c r="AW12"/>
    </row>
    <row r="13" spans="2:49" ht="13.5" thickBot="1" x14ac:dyDescent="0.25">
      <c r="B13" s="358"/>
      <c r="D13" s="2" t="s">
        <v>9</v>
      </c>
      <c r="E13" s="845">
        <v>0</v>
      </c>
      <c r="F13" s="827"/>
      <c r="G13" s="829"/>
      <c r="I13" s="746"/>
      <c r="K13" s="7" t="s">
        <v>6</v>
      </c>
      <c r="L13" s="1443">
        <v>0</v>
      </c>
      <c r="M13" s="92"/>
      <c r="N13" s="424">
        <f>IF(N6=0,0,ROUND(N11/7*L13,0))</f>
        <v>0</v>
      </c>
      <c r="P13" s="350"/>
      <c r="R13" s="7" t="s">
        <v>6</v>
      </c>
      <c r="S13" s="1443">
        <v>0</v>
      </c>
      <c r="T13" s="828"/>
      <c r="U13" s="424">
        <f>IF(U6=0,0,ROUND(U11/7*S13,0))</f>
        <v>0</v>
      </c>
      <c r="W13" s="15"/>
      <c r="AW13"/>
    </row>
    <row r="14" spans="2:49" ht="13.5" thickBot="1" x14ac:dyDescent="0.25">
      <c r="B14" s="358"/>
      <c r="D14" s="2" t="s">
        <v>8</v>
      </c>
      <c r="E14" s="845">
        <v>0</v>
      </c>
      <c r="F14" s="12"/>
      <c r="G14" s="357" t="s">
        <v>48</v>
      </c>
      <c r="I14" s="746"/>
      <c r="L14" s="319"/>
      <c r="M14" s="319"/>
      <c r="N14" s="319"/>
      <c r="P14" s="350"/>
      <c r="S14" s="319"/>
      <c r="T14" s="319"/>
      <c r="U14" s="319"/>
      <c r="W14" s="15"/>
      <c r="AW14"/>
    </row>
    <row r="15" spans="2:49" ht="13.5" thickBot="1" x14ac:dyDescent="0.25">
      <c r="B15" s="358"/>
      <c r="D15" s="2" t="s">
        <v>11</v>
      </c>
      <c r="E15" s="841">
        <v>0</v>
      </c>
      <c r="F15" s="12"/>
      <c r="G15" s="1445">
        <v>1</v>
      </c>
      <c r="I15" s="746"/>
      <c r="K15" s="61" t="s">
        <v>60</v>
      </c>
      <c r="L15" s="352"/>
      <c r="M15" s="352" t="s">
        <v>1</v>
      </c>
      <c r="N15" s="745"/>
      <c r="P15" s="350"/>
      <c r="R15" s="61" t="s">
        <v>60</v>
      </c>
      <c r="S15" s="352"/>
      <c r="T15" s="352" t="s">
        <v>1</v>
      </c>
      <c r="U15" s="745"/>
      <c r="W15" s="15"/>
      <c r="AW15"/>
    </row>
    <row r="16" spans="2:49" ht="13.5" thickBot="1" x14ac:dyDescent="0.25">
      <c r="B16" s="358"/>
      <c r="D16" s="2" t="s">
        <v>50</v>
      </c>
      <c r="E16" s="845">
        <v>0</v>
      </c>
      <c r="F16" s="12"/>
      <c r="G16" s="357" t="s">
        <v>48</v>
      </c>
      <c r="I16" s="746"/>
      <c r="K16" s="9" t="s">
        <v>21</v>
      </c>
      <c r="L16" s="833"/>
      <c r="M16" s="826"/>
      <c r="N16" s="713" t="s">
        <v>22</v>
      </c>
      <c r="P16" s="350"/>
      <c r="R16" s="9" t="s">
        <v>21</v>
      </c>
      <c r="S16" s="833"/>
      <c r="T16" s="826"/>
      <c r="U16" s="713" t="s">
        <v>22</v>
      </c>
      <c r="W16" s="15"/>
      <c r="AW16"/>
    </row>
    <row r="17" spans="2:49" ht="13.5" thickBot="1" x14ac:dyDescent="0.25">
      <c r="B17" s="358"/>
      <c r="D17" s="2" t="s">
        <v>49</v>
      </c>
      <c r="E17" s="841">
        <v>0</v>
      </c>
      <c r="F17" s="12"/>
      <c r="G17" s="1445">
        <v>1</v>
      </c>
      <c r="I17" s="746"/>
      <c r="K17" s="2" t="s">
        <v>33</v>
      </c>
      <c r="L17" s="841">
        <v>0</v>
      </c>
      <c r="M17" s="827"/>
      <c r="N17" s="1445">
        <v>1</v>
      </c>
      <c r="P17" s="350"/>
      <c r="R17" s="2" t="s">
        <v>33</v>
      </c>
      <c r="S17" s="841">
        <v>0</v>
      </c>
      <c r="T17" s="827"/>
      <c r="U17" s="1445">
        <v>1</v>
      </c>
      <c r="W17" s="15"/>
      <c r="AW17"/>
    </row>
    <row r="18" spans="2:49" ht="13.5" thickBot="1" x14ac:dyDescent="0.25">
      <c r="B18" s="358"/>
      <c r="D18" s="2" t="s">
        <v>10</v>
      </c>
      <c r="E18" s="845">
        <v>0</v>
      </c>
      <c r="F18" s="827"/>
      <c r="G18" s="829"/>
      <c r="I18" s="746"/>
      <c r="K18" s="2"/>
      <c r="L18" s="836" t="s">
        <v>1</v>
      </c>
      <c r="M18" s="827"/>
      <c r="N18" s="66" t="s">
        <v>210</v>
      </c>
      <c r="P18" s="350"/>
      <c r="R18" s="2"/>
      <c r="S18" s="836" t="s">
        <v>1</v>
      </c>
      <c r="T18" s="827"/>
      <c r="U18" s="66" t="s">
        <v>210</v>
      </c>
      <c r="W18" s="15"/>
      <c r="AW18"/>
    </row>
    <row r="19" spans="2:49" ht="13.5" thickBot="1" x14ac:dyDescent="0.25">
      <c r="B19" s="358"/>
      <c r="D19" s="2" t="s">
        <v>53</v>
      </c>
      <c r="E19" s="1444">
        <v>0</v>
      </c>
      <c r="F19" s="12"/>
      <c r="G19" s="372" t="s">
        <v>439</v>
      </c>
      <c r="I19" s="746"/>
      <c r="K19" s="2" t="s">
        <v>52</v>
      </c>
      <c r="L19" s="841">
        <v>0</v>
      </c>
      <c r="M19" s="827"/>
      <c r="N19" s="420">
        <f>IF(N6=0,0,IF(L19=0,0,ROUNDUP(N6/L19,0)))</f>
        <v>0</v>
      </c>
      <c r="P19" s="350"/>
      <c r="R19" s="2" t="s">
        <v>52</v>
      </c>
      <c r="S19" s="841">
        <v>0</v>
      </c>
      <c r="T19" s="827"/>
      <c r="U19" s="420">
        <f>IF(U6=0,0,IF(S19=0,0,ROUNDUP(U6/S19,0)))</f>
        <v>0</v>
      </c>
      <c r="W19" s="15"/>
      <c r="AW19"/>
    </row>
    <row r="20" spans="2:49" ht="13.5" thickBot="1" x14ac:dyDescent="0.25">
      <c r="B20" s="358"/>
      <c r="D20" s="2" t="s">
        <v>550</v>
      </c>
      <c r="E20" s="1207">
        <f>IF(G20=1,'10. Verot'!$C$17/100,IF(G20=2,'10. Verot'!$D$17/100))</f>
        <v>1.3709677419354838</v>
      </c>
      <c r="F20" s="12"/>
      <c r="G20" s="1446">
        <v>1</v>
      </c>
      <c r="I20" s="746"/>
      <c r="K20" s="2"/>
      <c r="L20" s="836"/>
      <c r="M20" s="827"/>
      <c r="N20" s="66" t="s">
        <v>209</v>
      </c>
      <c r="P20" s="350"/>
      <c r="R20" s="2"/>
      <c r="S20" s="836"/>
      <c r="T20" s="827"/>
      <c r="U20" s="66" t="s">
        <v>209</v>
      </c>
      <c r="W20" s="15"/>
      <c r="AW20"/>
    </row>
    <row r="21" spans="2:49" ht="13.5" thickBot="1" x14ac:dyDescent="0.25">
      <c r="B21" s="358"/>
      <c r="D21" s="12" t="s">
        <v>393</v>
      </c>
      <c r="E21" s="422">
        <f>IF(G6=0,0,E14*E13+E16*E18)</f>
        <v>0</v>
      </c>
      <c r="F21" s="827"/>
      <c r="G21" s="357"/>
      <c r="I21" s="746"/>
      <c r="K21" s="20" t="s">
        <v>34</v>
      </c>
      <c r="L21" s="429">
        <f>IF(N6=0,0,(L17*N6*N17+L35*N19*N17))</f>
        <v>0</v>
      </c>
      <c r="M21" s="827"/>
      <c r="N21" s="420">
        <f>IF(N6=0,0,L21*'11. Työtunnit'!$C$7)</f>
        <v>0</v>
      </c>
      <c r="P21" s="350"/>
      <c r="R21" s="20" t="s">
        <v>34</v>
      </c>
      <c r="S21" s="429">
        <f>IF(U6=0,0,(S17*U6*U17+S35*U19*U17))</f>
        <v>0</v>
      </c>
      <c r="T21" s="827"/>
      <c r="U21" s="420">
        <f>IF(U6=0,0,S21*'11. Työtunnit'!$C$7)</f>
        <v>0</v>
      </c>
      <c r="W21" s="15"/>
      <c r="AW21"/>
    </row>
    <row r="22" spans="2:49" ht="13.5" thickBot="1" x14ac:dyDescent="0.25">
      <c r="B22" s="358"/>
      <c r="D22" s="12" t="s">
        <v>383</v>
      </c>
      <c r="E22" s="423">
        <f>IF(G6=0,0,(E21/100)*E19*E20)</f>
        <v>0</v>
      </c>
      <c r="F22" s="827"/>
      <c r="G22" s="829"/>
      <c r="I22" s="746"/>
      <c r="K22" s="22" t="s">
        <v>629</v>
      </c>
      <c r="L22" s="906"/>
      <c r="M22" s="828"/>
      <c r="N22" s="423">
        <f>IF(N6=0,0,(L34*(L39/100)*L40*N19+(IF(L46=0,0,L50/L46))*N19))</f>
        <v>0</v>
      </c>
      <c r="P22" s="350"/>
      <c r="R22" s="22" t="s">
        <v>629</v>
      </c>
      <c r="S22" s="906"/>
      <c r="T22" s="828"/>
      <c r="U22" s="423">
        <f>IF(U6=0,0,(S34*(S39/100)*S40*U19+(IF(S46=0,0,S50/S46))*U19))</f>
        <v>0</v>
      </c>
      <c r="W22" s="15"/>
      <c r="AW22"/>
    </row>
    <row r="23" spans="2:49" ht="13.5" thickBot="1" x14ac:dyDescent="0.25">
      <c r="B23" s="358"/>
      <c r="D23" s="12" t="s">
        <v>387</v>
      </c>
      <c r="E23" s="617">
        <f>IF(G6=0,0,E15*G15*E13+E17*G17*E18)</f>
        <v>0</v>
      </c>
      <c r="F23" s="827"/>
      <c r="G23" s="357"/>
      <c r="I23" s="746"/>
      <c r="K23" s="9" t="s">
        <v>25</v>
      </c>
      <c r="L23" s="833"/>
      <c r="M23" s="826"/>
      <c r="N23" s="713" t="s">
        <v>22</v>
      </c>
      <c r="P23" s="350"/>
      <c r="R23" s="9" t="s">
        <v>25</v>
      </c>
      <c r="S23" s="833"/>
      <c r="T23" s="826"/>
      <c r="U23" s="713" t="s">
        <v>48</v>
      </c>
      <c r="W23" s="15"/>
      <c r="AW23"/>
    </row>
    <row r="24" spans="2:49" ht="13.5" thickBot="1" x14ac:dyDescent="0.25">
      <c r="B24" s="358"/>
      <c r="D24" s="302" t="s">
        <v>388</v>
      </c>
      <c r="E24" s="423">
        <f>IF(G6=0,0,E23*'11. Työtunnit'!$C$7)</f>
        <v>0</v>
      </c>
      <c r="F24" s="893"/>
      <c r="G24" s="894"/>
      <c r="I24" s="746"/>
      <c r="K24" s="12" t="s">
        <v>425</v>
      </c>
      <c r="L24" s="841">
        <v>0</v>
      </c>
      <c r="M24" s="827"/>
      <c r="N24" s="1445">
        <v>1</v>
      </c>
      <c r="P24" s="350"/>
      <c r="R24" s="12" t="s">
        <v>425</v>
      </c>
      <c r="S24" s="841">
        <v>0</v>
      </c>
      <c r="T24" s="827"/>
      <c r="U24" s="1445">
        <v>1</v>
      </c>
      <c r="W24" s="15"/>
      <c r="AW24"/>
    </row>
    <row r="25" spans="2:49" ht="13.5" thickBot="1" x14ac:dyDescent="0.25">
      <c r="B25" s="358"/>
      <c r="D25" s="57" t="s">
        <v>386</v>
      </c>
      <c r="E25" s="895"/>
      <c r="F25" s="895"/>
      <c r="G25" s="896" t="s">
        <v>22</v>
      </c>
      <c r="I25" s="746"/>
      <c r="K25" s="2"/>
      <c r="L25" s="836"/>
      <c r="M25" s="827"/>
      <c r="N25" s="66" t="s">
        <v>211</v>
      </c>
      <c r="P25" s="350"/>
      <c r="R25" s="2"/>
      <c r="S25" s="836"/>
      <c r="T25" s="827"/>
      <c r="U25" s="66" t="s">
        <v>211</v>
      </c>
      <c r="W25" s="15"/>
      <c r="AW25"/>
    </row>
    <row r="26" spans="2:49" ht="13.5" thickBot="1" x14ac:dyDescent="0.25">
      <c r="B26" s="358"/>
      <c r="D26" s="64" t="s">
        <v>404</v>
      </c>
      <c r="E26" s="841">
        <v>0</v>
      </c>
      <c r="F26" s="316"/>
      <c r="G26" s="1445">
        <v>1</v>
      </c>
      <c r="I26" s="746"/>
      <c r="K26" s="2" t="s">
        <v>212</v>
      </c>
      <c r="L26" s="841">
        <v>0</v>
      </c>
      <c r="M26" s="827"/>
      <c r="N26" s="420">
        <f>IF(N6=0,0,ROUNDUP(IF(L26=0,0,N6/L26),0))</f>
        <v>0</v>
      </c>
      <c r="P26" s="350"/>
      <c r="R26" s="2" t="s">
        <v>212</v>
      </c>
      <c r="S26" s="841">
        <v>0</v>
      </c>
      <c r="T26" s="827"/>
      <c r="U26" s="420">
        <f>IF(U6=0,0,ROUNDUP(IF(S26=0,0,U6/S26),0))</f>
        <v>0</v>
      </c>
      <c r="W26" s="15"/>
      <c r="AW26"/>
    </row>
    <row r="27" spans="2:49" ht="13.5" thickBot="1" x14ac:dyDescent="0.25">
      <c r="B27" s="358"/>
      <c r="D27" s="57" t="s">
        <v>407</v>
      </c>
      <c r="E27" s="838"/>
      <c r="F27" s="897"/>
      <c r="G27" s="896"/>
      <c r="I27" s="746"/>
      <c r="K27" s="2"/>
      <c r="L27" s="836"/>
      <c r="M27" s="827"/>
      <c r="N27" s="66" t="s">
        <v>209</v>
      </c>
      <c r="P27" s="350"/>
      <c r="R27" s="2"/>
      <c r="S27" s="836"/>
      <c r="T27" s="827"/>
      <c r="U27" s="66" t="s">
        <v>209</v>
      </c>
      <c r="W27" s="15"/>
      <c r="AW27"/>
    </row>
    <row r="28" spans="2:49" ht="13.5" thickBot="1" x14ac:dyDescent="0.25">
      <c r="B28" s="358"/>
      <c r="D28" s="3" t="s">
        <v>18</v>
      </c>
      <c r="E28" s="845">
        <v>0</v>
      </c>
      <c r="F28" s="895"/>
      <c r="G28" s="896" t="s">
        <v>22</v>
      </c>
      <c r="I28" s="746"/>
      <c r="K28" s="317" t="s">
        <v>426</v>
      </c>
      <c r="L28" s="429">
        <f>IF(N6=0,0,(L24*N6*N24+L35*N26*N24))</f>
        <v>0</v>
      </c>
      <c r="M28" s="827"/>
      <c r="N28" s="420">
        <f>IF(N6=0,0,L28*'11. Työtunnit'!$C$7)</f>
        <v>0</v>
      </c>
      <c r="P28" s="350"/>
      <c r="R28" s="317" t="s">
        <v>426</v>
      </c>
      <c r="S28" s="429">
        <f>IF(U6=0,0,(S24*U6*U24+S35*U26*U24))</f>
        <v>0</v>
      </c>
      <c r="T28" s="827"/>
      <c r="U28" s="420">
        <f>IF(U6=0,0,S28*'11. Työtunnit'!$C$7)</f>
        <v>0</v>
      </c>
      <c r="W28" s="15"/>
      <c r="AW28"/>
    </row>
    <row r="29" spans="2:49" ht="13.5" thickBot="1" x14ac:dyDescent="0.25">
      <c r="B29" s="358"/>
      <c r="D29" s="2" t="s">
        <v>23</v>
      </c>
      <c r="E29" s="841">
        <v>0</v>
      </c>
      <c r="F29" s="827"/>
      <c r="G29" s="1445">
        <v>1</v>
      </c>
      <c r="I29" s="746"/>
      <c r="K29" s="22" t="s">
        <v>629</v>
      </c>
      <c r="L29" s="828"/>
      <c r="M29" s="828"/>
      <c r="N29" s="423">
        <f>IF(N6=0,0,(IF(N19=0,0,N22/N19*N26)))</f>
        <v>0</v>
      </c>
      <c r="P29" s="350"/>
      <c r="R29" s="22" t="s">
        <v>629</v>
      </c>
      <c r="S29" s="828"/>
      <c r="T29" s="828"/>
      <c r="U29" s="423">
        <f>IF(U6=0,0,(IF(U19=0,0,U22/U19*U26)))</f>
        <v>0</v>
      </c>
      <c r="W29" s="15"/>
      <c r="AW29"/>
    </row>
    <row r="30" spans="2:49" ht="13.5" thickBot="1" x14ac:dyDescent="0.25">
      <c r="B30" s="358"/>
      <c r="D30" s="2" t="s">
        <v>51</v>
      </c>
      <c r="E30" s="845">
        <v>0</v>
      </c>
      <c r="F30" s="827"/>
      <c r="G30" s="372" t="s">
        <v>439</v>
      </c>
      <c r="I30" s="746"/>
      <c r="L30" s="319"/>
      <c r="M30" s="319"/>
      <c r="N30" s="319"/>
      <c r="P30" s="350"/>
      <c r="S30" s="319"/>
      <c r="T30" s="319"/>
      <c r="U30" s="319"/>
      <c r="W30" s="15"/>
      <c r="AW30"/>
    </row>
    <row r="31" spans="2:49" ht="13.5" thickBot="1" x14ac:dyDescent="0.25">
      <c r="B31" s="358"/>
      <c r="D31" s="2" t="s">
        <v>549</v>
      </c>
      <c r="E31" s="1208">
        <f>IF(G31=1,'10. Verot'!$C$18/100,IF(G31=2,'10. Verot'!$E$18/100))</f>
        <v>0.72056774193548379</v>
      </c>
      <c r="F31" s="827"/>
      <c r="G31" s="843">
        <v>1</v>
      </c>
      <c r="I31" s="746"/>
      <c r="K31" s="94" t="s">
        <v>57</v>
      </c>
      <c r="L31" s="353"/>
      <c r="M31" s="353"/>
      <c r="N31" s="832"/>
      <c r="P31" s="350"/>
      <c r="R31" s="61" t="s">
        <v>57</v>
      </c>
      <c r="S31" s="352"/>
      <c r="T31" s="352"/>
      <c r="U31" s="161"/>
      <c r="W31" s="15"/>
      <c r="AW31"/>
    </row>
    <row r="32" spans="2:49" ht="13.5" thickBot="1" x14ac:dyDescent="0.25">
      <c r="B32" s="358"/>
      <c r="D32" s="12" t="s">
        <v>390</v>
      </c>
      <c r="E32" s="427">
        <f>IF(G6=0,0,E28*E30*E31)</f>
        <v>0</v>
      </c>
      <c r="F32" s="827"/>
      <c r="G32" s="372"/>
      <c r="I32" s="746"/>
      <c r="K32" s="9" t="s">
        <v>7</v>
      </c>
      <c r="L32" s="833"/>
      <c r="M32" s="826"/>
      <c r="N32" s="830"/>
      <c r="P32" s="350"/>
      <c r="R32" s="21" t="s">
        <v>7</v>
      </c>
      <c r="S32" s="838"/>
      <c r="T32" s="827"/>
      <c r="U32" s="829"/>
      <c r="W32" s="15"/>
    </row>
    <row r="33" spans="2:49" ht="13.5" thickBot="1" x14ac:dyDescent="0.25">
      <c r="B33" s="358"/>
      <c r="D33" s="12" t="s">
        <v>394</v>
      </c>
      <c r="E33" s="423">
        <f>IF(G6=0,0,E28*E29*G29)</f>
        <v>0</v>
      </c>
      <c r="F33" s="827"/>
      <c r="G33" s="373"/>
      <c r="I33" s="746"/>
      <c r="K33" s="2" t="s">
        <v>9</v>
      </c>
      <c r="L33" s="845">
        <v>0</v>
      </c>
      <c r="M33" s="827"/>
      <c r="N33" s="829"/>
      <c r="P33" s="350"/>
      <c r="R33" s="2" t="s">
        <v>9</v>
      </c>
      <c r="S33" s="845">
        <v>0</v>
      </c>
      <c r="T33" s="827"/>
      <c r="U33" s="829"/>
      <c r="W33" s="15"/>
    </row>
    <row r="34" spans="2:49" ht="13.5" thickBot="1" x14ac:dyDescent="0.25">
      <c r="B34" s="358"/>
      <c r="D34" s="92" t="s">
        <v>395</v>
      </c>
      <c r="E34" s="422">
        <f>IF(G6=0,0,E33*'11. Työtunnit'!$C$7)</f>
        <v>0</v>
      </c>
      <c r="F34" s="828"/>
      <c r="G34" s="374"/>
      <c r="I34" s="746"/>
      <c r="K34" s="2" t="s">
        <v>8</v>
      </c>
      <c r="L34" s="1441">
        <v>0</v>
      </c>
      <c r="M34" s="827"/>
      <c r="N34" s="357" t="s">
        <v>22</v>
      </c>
      <c r="P34" s="350"/>
      <c r="R34" s="2" t="s">
        <v>8</v>
      </c>
      <c r="S34" s="845">
        <v>0</v>
      </c>
      <c r="T34" s="827"/>
      <c r="U34" s="357" t="s">
        <v>22</v>
      </c>
      <c r="W34" s="15"/>
    </row>
    <row r="35" spans="2:49" ht="13.5" thickBot="1" x14ac:dyDescent="0.25">
      <c r="B35" s="358"/>
      <c r="D35" s="375" t="s">
        <v>385</v>
      </c>
      <c r="E35" s="898"/>
      <c r="F35" s="744"/>
      <c r="G35" s="378"/>
      <c r="I35" s="746"/>
      <c r="K35" s="2" t="s">
        <v>11</v>
      </c>
      <c r="L35" s="841">
        <v>0</v>
      </c>
      <c r="M35" s="827"/>
      <c r="N35" s="1445">
        <v>1</v>
      </c>
      <c r="P35" s="350"/>
      <c r="R35" s="2" t="s">
        <v>11</v>
      </c>
      <c r="S35" s="841">
        <v>0</v>
      </c>
      <c r="T35" s="827"/>
      <c r="U35" s="1445">
        <v>1</v>
      </c>
      <c r="W35" s="15"/>
    </row>
    <row r="36" spans="2:49" ht="13.5" thickBot="1" x14ac:dyDescent="0.25">
      <c r="B36" s="358"/>
      <c r="D36" s="91" t="s">
        <v>391</v>
      </c>
      <c r="E36" s="1451">
        <v>0</v>
      </c>
      <c r="F36" s="91"/>
      <c r="G36" s="713" t="s">
        <v>43</v>
      </c>
      <c r="I36" s="746"/>
      <c r="K36" s="2" t="s">
        <v>50</v>
      </c>
      <c r="L36" s="845">
        <v>0</v>
      </c>
      <c r="M36" s="827"/>
      <c r="N36" s="357" t="s">
        <v>22</v>
      </c>
      <c r="P36" s="350"/>
      <c r="R36" s="2" t="s">
        <v>50</v>
      </c>
      <c r="S36" s="845">
        <v>0</v>
      </c>
      <c r="T36" s="827"/>
      <c r="U36" s="357" t="s">
        <v>22</v>
      </c>
      <c r="W36" s="15"/>
    </row>
    <row r="37" spans="2:49" ht="13.5" thickBot="1" x14ac:dyDescent="0.25">
      <c r="B37" s="358"/>
      <c r="D37" s="302" t="s">
        <v>392</v>
      </c>
      <c r="E37" s="1442">
        <v>0</v>
      </c>
      <c r="F37" s="302"/>
      <c r="G37" s="423">
        <f>IF(G6=0,0,E37-E36+1)</f>
        <v>0</v>
      </c>
      <c r="I37" s="746"/>
      <c r="K37" s="3" t="s">
        <v>49</v>
      </c>
      <c r="L37" s="1444">
        <v>0</v>
      </c>
      <c r="M37" s="827"/>
      <c r="N37" s="1445">
        <v>1</v>
      </c>
      <c r="P37" s="350"/>
      <c r="R37" s="3" t="s">
        <v>49</v>
      </c>
      <c r="S37" s="1444">
        <v>0</v>
      </c>
      <c r="T37" s="827"/>
      <c r="U37" s="1445">
        <v>1</v>
      </c>
      <c r="W37" s="15"/>
    </row>
    <row r="38" spans="2:49" ht="13.5" thickBot="1" x14ac:dyDescent="0.25">
      <c r="B38" s="358"/>
      <c r="D38" s="57" t="s">
        <v>408</v>
      </c>
      <c r="E38" s="827"/>
      <c r="F38" s="827"/>
      <c r="G38" s="357" t="s">
        <v>48</v>
      </c>
      <c r="I38" s="746"/>
      <c r="K38" s="2" t="s">
        <v>10</v>
      </c>
      <c r="L38" s="845">
        <v>0</v>
      </c>
      <c r="M38" s="827"/>
      <c r="N38" s="829"/>
      <c r="P38" s="350"/>
      <c r="R38" s="2" t="s">
        <v>10</v>
      </c>
      <c r="S38" s="845">
        <v>0</v>
      </c>
      <c r="T38" s="827"/>
      <c r="U38" s="829"/>
      <c r="W38" s="15"/>
    </row>
    <row r="39" spans="2:49" ht="13.5" thickBot="1" x14ac:dyDescent="0.25">
      <c r="B39" s="358"/>
      <c r="D39" s="2" t="s">
        <v>61</v>
      </c>
      <c r="E39" s="1454">
        <v>0</v>
      </c>
      <c r="F39" s="827"/>
      <c r="G39" s="1445">
        <v>1</v>
      </c>
      <c r="I39" s="746"/>
      <c r="K39" s="2" t="s">
        <v>53</v>
      </c>
      <c r="L39" s="1444">
        <v>0</v>
      </c>
      <c r="M39" s="827"/>
      <c r="N39" s="372" t="s">
        <v>439</v>
      </c>
      <c r="P39" s="350"/>
      <c r="R39" s="2" t="s">
        <v>53</v>
      </c>
      <c r="S39" s="1444">
        <v>0</v>
      </c>
      <c r="T39" s="827"/>
      <c r="U39" s="372" t="s">
        <v>439</v>
      </c>
      <c r="W39" s="15"/>
    </row>
    <row r="40" spans="2:49" ht="13.5" thickBot="1" x14ac:dyDescent="0.25">
      <c r="B40" s="358"/>
      <c r="D40" s="2" t="s">
        <v>62</v>
      </c>
      <c r="E40" s="1441">
        <v>0</v>
      </c>
      <c r="F40" s="827"/>
      <c r="G40" s="1445">
        <v>1</v>
      </c>
      <c r="I40" s="746"/>
      <c r="K40" s="2" t="s">
        <v>550</v>
      </c>
      <c r="L40" s="1207">
        <f>IF(N40=1,'10. Verot'!$C$17/100,IF(N40=2,'10. Verot'!$D$17/100))</f>
        <v>1.3709677419354838</v>
      </c>
      <c r="M40" s="827"/>
      <c r="N40" s="1446">
        <v>1</v>
      </c>
      <c r="P40" s="350"/>
      <c r="R40" s="2" t="s">
        <v>550</v>
      </c>
      <c r="S40" s="1207">
        <f>IF(U40=1,'10. Verot'!$C$17/100,IF(U40=2,'10. Verot'!$D$17/100))</f>
        <v>1.3709677419354838</v>
      </c>
      <c r="T40" s="827"/>
      <c r="U40" s="1446">
        <v>1</v>
      </c>
      <c r="W40" s="15"/>
    </row>
    <row r="41" spans="2:49" ht="13.5" thickBot="1" x14ac:dyDescent="0.25">
      <c r="B41" s="358"/>
      <c r="D41" s="2" t="s">
        <v>50</v>
      </c>
      <c r="E41" s="845">
        <v>0</v>
      </c>
      <c r="F41" s="12"/>
      <c r="G41" s="896"/>
      <c r="I41" s="746"/>
      <c r="K41" s="12" t="s">
        <v>389</v>
      </c>
      <c r="L41" s="422">
        <f>IF(N6=0,0,L34*L33+L36*L38)</f>
        <v>0</v>
      </c>
      <c r="M41" s="827"/>
      <c r="N41" s="357"/>
      <c r="P41" s="350"/>
      <c r="R41" s="3" t="s">
        <v>12</v>
      </c>
      <c r="S41" s="422">
        <f>IF(U6=0,0,S34*S33+S36*S38)</f>
        <v>0</v>
      </c>
      <c r="T41" s="827"/>
      <c r="U41" s="357"/>
      <c r="W41" s="15"/>
    </row>
    <row r="42" spans="2:49" ht="13.5" thickBot="1" x14ac:dyDescent="0.25">
      <c r="B42" s="358"/>
      <c r="D42" s="2" t="s">
        <v>49</v>
      </c>
      <c r="E42" s="841">
        <v>0</v>
      </c>
      <c r="F42" s="12"/>
      <c r="G42" s="899"/>
      <c r="I42" s="746"/>
      <c r="K42" s="12" t="s">
        <v>27</v>
      </c>
      <c r="L42" s="423">
        <f>IF(N6=0,0,(L41/100)*L39*L40)</f>
        <v>0</v>
      </c>
      <c r="M42" s="827"/>
      <c r="N42" s="829"/>
      <c r="P42" s="350"/>
      <c r="R42" s="3" t="s">
        <v>27</v>
      </c>
      <c r="S42" s="423">
        <f>IF(U6=0,0,(S41/100)*S39*S40)</f>
        <v>0</v>
      </c>
      <c r="T42" s="827"/>
      <c r="U42" s="829"/>
      <c r="W42" s="15"/>
    </row>
    <row r="43" spans="2:49" ht="13.5" thickBot="1" x14ac:dyDescent="0.25">
      <c r="B43" s="358"/>
      <c r="D43" s="12" t="s">
        <v>399</v>
      </c>
      <c r="E43" s="422">
        <f>IF(G6=0,0,E39*E14+E40*E41)</f>
        <v>0</v>
      </c>
      <c r="F43" s="827"/>
      <c r="G43" s="357"/>
      <c r="I43" s="746"/>
      <c r="K43" s="3" t="s">
        <v>195</v>
      </c>
      <c r="L43" s="424">
        <f>IF(N6=0,0, L35*N35*L33+L37*N37*L38)</f>
        <v>0</v>
      </c>
      <c r="M43" s="827"/>
      <c r="N43" s="357"/>
      <c r="P43" s="350"/>
      <c r="R43" s="3" t="s">
        <v>195</v>
      </c>
      <c r="S43" s="424">
        <f>IF(U6=0,0,S35*U35*S33+S37*U37*S38)</f>
        <v>0</v>
      </c>
      <c r="T43" s="827"/>
      <c r="U43" s="357"/>
      <c r="W43" s="15"/>
    </row>
    <row r="44" spans="2:49" ht="13.5" thickBot="1" x14ac:dyDescent="0.25">
      <c r="B44" s="358"/>
      <c r="D44" s="12" t="s">
        <v>396</v>
      </c>
      <c r="E44" s="423">
        <f>IF(G6=0,0,E43*E19/100*E20)</f>
        <v>0</v>
      </c>
      <c r="F44" s="827"/>
      <c r="G44" s="829"/>
      <c r="I44" s="746"/>
      <c r="K44" s="64" t="s">
        <v>196</v>
      </c>
      <c r="L44" s="423">
        <f>IF(N6=0,0,L43*'11. Työtunnit'!$C$7)</f>
        <v>0</v>
      </c>
      <c r="M44" s="893"/>
      <c r="N44" s="907"/>
      <c r="P44" s="350"/>
      <c r="R44" s="64" t="s">
        <v>196</v>
      </c>
      <c r="S44" s="423">
        <f>IF(U6=0,0,S43*'11. Työtunnit'!$C$7)</f>
        <v>0</v>
      </c>
      <c r="T44" s="893"/>
      <c r="U44" s="907"/>
      <c r="W44" s="15"/>
    </row>
    <row r="45" spans="2:49" ht="13.5" thickBot="1" x14ac:dyDescent="0.25">
      <c r="B45" s="358"/>
      <c r="D45" s="12" t="s">
        <v>397</v>
      </c>
      <c r="E45" s="617">
        <f>IF(G6=0,0,E39*G39*E15+E40*G40*E42)</f>
        <v>0</v>
      </c>
      <c r="F45" s="827"/>
      <c r="G45" s="357"/>
      <c r="I45" s="746"/>
      <c r="K45" s="57" t="s">
        <v>14</v>
      </c>
      <c r="L45" s="835"/>
      <c r="M45" s="827"/>
      <c r="N45" s="829"/>
      <c r="P45" s="350"/>
      <c r="R45" s="5" t="s">
        <v>14</v>
      </c>
      <c r="S45" s="835"/>
      <c r="T45" s="827"/>
      <c r="U45" s="829"/>
      <c r="W45" s="15"/>
    </row>
    <row r="46" spans="2:49" ht="13.5" thickBot="1" x14ac:dyDescent="0.25">
      <c r="B46" s="358"/>
      <c r="D46" s="302" t="s">
        <v>398</v>
      </c>
      <c r="E46" s="423">
        <f>IF(G6=0,0,E45*'11. Työtunnit'!$C$7)</f>
        <v>0</v>
      </c>
      <c r="F46" s="893"/>
      <c r="G46" s="894"/>
      <c r="I46" s="746"/>
      <c r="K46" s="3" t="s">
        <v>18</v>
      </c>
      <c r="L46" s="845">
        <v>0</v>
      </c>
      <c r="M46" s="827"/>
      <c r="N46" s="357" t="s">
        <v>22</v>
      </c>
      <c r="P46" s="350"/>
      <c r="R46" s="3" t="s">
        <v>18</v>
      </c>
      <c r="S46" s="845">
        <v>0</v>
      </c>
      <c r="T46" s="827"/>
      <c r="U46" s="357" t="s">
        <v>22</v>
      </c>
      <c r="W46" s="15"/>
    </row>
    <row r="47" spans="2:49" ht="13.5" thickBot="1" x14ac:dyDescent="0.25">
      <c r="B47" s="358"/>
      <c r="D47" s="57" t="s">
        <v>14</v>
      </c>
      <c r="E47" s="895"/>
      <c r="F47" s="895"/>
      <c r="G47" s="900"/>
      <c r="I47" s="746"/>
      <c r="K47" s="2" t="s">
        <v>29</v>
      </c>
      <c r="L47" s="905">
        <v>0</v>
      </c>
      <c r="M47" s="827"/>
      <c r="N47" s="1445">
        <v>1</v>
      </c>
      <c r="P47" s="350"/>
      <c r="R47" s="2" t="s">
        <v>29</v>
      </c>
      <c r="S47" s="905">
        <v>0</v>
      </c>
      <c r="T47" s="827"/>
      <c r="U47" s="1445">
        <v>1</v>
      </c>
      <c r="W47" s="15"/>
      <c r="AU47" s="24"/>
      <c r="AW47"/>
    </row>
    <row r="48" spans="2:49" ht="13.5" thickBot="1" x14ac:dyDescent="0.25">
      <c r="B48" s="358"/>
      <c r="D48" s="12" t="s">
        <v>18</v>
      </c>
      <c r="E48" s="1454">
        <v>0</v>
      </c>
      <c r="F48" s="827"/>
      <c r="G48" s="357" t="s">
        <v>48</v>
      </c>
      <c r="I48" s="746"/>
      <c r="K48" s="12" t="s">
        <v>205</v>
      </c>
      <c r="L48" s="841">
        <v>0</v>
      </c>
      <c r="M48" s="827"/>
      <c r="N48" s="372" t="s">
        <v>439</v>
      </c>
      <c r="P48" s="350"/>
      <c r="R48" s="12" t="s">
        <v>205</v>
      </c>
      <c r="S48" s="841">
        <v>0</v>
      </c>
      <c r="T48" s="827"/>
      <c r="U48" s="372" t="s">
        <v>439</v>
      </c>
      <c r="W48" s="15"/>
      <c r="AU48" s="24"/>
      <c r="AW48"/>
    </row>
    <row r="49" spans="2:49" ht="13.5" thickBot="1" x14ac:dyDescent="0.25">
      <c r="B49" s="358"/>
      <c r="D49" s="2" t="s">
        <v>23</v>
      </c>
      <c r="E49" s="841">
        <v>0</v>
      </c>
      <c r="F49" s="827"/>
      <c r="G49" s="1445">
        <v>1</v>
      </c>
      <c r="I49" s="746"/>
      <c r="K49" s="2" t="s">
        <v>549</v>
      </c>
      <c r="L49" s="1208">
        <f>IF(N49=1,'10. Verot'!$C$18/100,IF(N49=2,'10. Verot'!$E$18/100))</f>
        <v>0.72056774193548379</v>
      </c>
      <c r="M49" s="827"/>
      <c r="N49" s="843">
        <v>1</v>
      </c>
      <c r="P49" s="350"/>
      <c r="R49" s="2" t="s">
        <v>549</v>
      </c>
      <c r="S49" s="1208">
        <f>IF(U49=1,'10. Verot'!$C$18/100,IF(U49=2,'10. Verot'!$E$18/100))</f>
        <v>0.72056774193548379</v>
      </c>
      <c r="T49" s="827"/>
      <c r="U49" s="843">
        <v>1</v>
      </c>
      <c r="W49" s="15"/>
      <c r="AU49" s="24"/>
      <c r="AW49"/>
    </row>
    <row r="50" spans="2:49" ht="13.5" thickBot="1" x14ac:dyDescent="0.25">
      <c r="B50" s="358"/>
      <c r="D50" s="20" t="s">
        <v>400</v>
      </c>
      <c r="E50" s="423">
        <f>IF(G6=0,0,E48*E49*G49)</f>
        <v>0</v>
      </c>
      <c r="F50" s="827"/>
      <c r="G50" s="372"/>
      <c r="I50" s="746"/>
      <c r="K50" s="3" t="s">
        <v>31</v>
      </c>
      <c r="L50" s="427">
        <f>IF(N6=0,0,L46*L48*L49)</f>
        <v>0</v>
      </c>
      <c r="M50" s="827"/>
      <c r="N50" s="829"/>
      <c r="P50" s="350"/>
      <c r="R50" s="3" t="s">
        <v>31</v>
      </c>
      <c r="S50" s="427">
        <f>IF(U6=0,0,S46*S48*S49)</f>
        <v>0</v>
      </c>
      <c r="T50" s="827"/>
      <c r="U50" s="829"/>
      <c r="W50" s="15"/>
      <c r="AU50" s="24"/>
      <c r="AW50"/>
    </row>
    <row r="51" spans="2:49" ht="13.5" thickBot="1" x14ac:dyDescent="0.25">
      <c r="B51" s="358"/>
      <c r="D51" s="3" t="s">
        <v>401</v>
      </c>
      <c r="E51" s="422">
        <f>IF(G6=0,0,E50*'11. Työtunnit'!$C$7)</f>
        <v>0</v>
      </c>
      <c r="F51" s="827"/>
      <c r="G51" s="373"/>
      <c r="I51" s="746"/>
      <c r="K51" s="3" t="s">
        <v>32</v>
      </c>
      <c r="L51" s="423">
        <f>IF(N6=0,0,L47*L46*N47)</f>
        <v>0</v>
      </c>
      <c r="M51" s="827"/>
      <c r="N51" s="829"/>
      <c r="P51" s="350"/>
      <c r="R51" s="3" t="s">
        <v>32</v>
      </c>
      <c r="S51" s="423">
        <f>IF(U6=0,0,S47*S46*U47)</f>
        <v>0</v>
      </c>
      <c r="T51" s="827"/>
      <c r="U51" s="829"/>
      <c r="W51" s="15"/>
    </row>
    <row r="52" spans="2:49" ht="13.5" thickBot="1" x14ac:dyDescent="0.25">
      <c r="B52" s="358"/>
      <c r="D52" s="64" t="s">
        <v>625</v>
      </c>
      <c r="E52" s="423">
        <f>IF(G6=0,0,E48*E30*E31)</f>
        <v>0</v>
      </c>
      <c r="F52" s="893"/>
      <c r="G52" s="379"/>
      <c r="I52" s="746"/>
      <c r="K52" s="7" t="s">
        <v>197</v>
      </c>
      <c r="L52" s="422">
        <f>IF(N6=0,0,L51*'11. Työtunnit'!$C$7)</f>
        <v>0</v>
      </c>
      <c r="M52" s="828"/>
      <c r="N52" s="702"/>
      <c r="P52" s="350"/>
      <c r="R52" s="7" t="s">
        <v>197</v>
      </c>
      <c r="S52" s="422">
        <f>IF(U6=0,0,S51*'11. Työtunnit'!$C$7)</f>
        <v>0</v>
      </c>
      <c r="T52" s="828"/>
      <c r="U52" s="702"/>
      <c r="W52" s="15"/>
    </row>
    <row r="53" spans="2:49" ht="13.5" thickBot="1" x14ac:dyDescent="0.25">
      <c r="B53" s="358"/>
      <c r="D53" s="57" t="s">
        <v>386</v>
      </c>
      <c r="E53" s="895"/>
      <c r="F53" s="895"/>
      <c r="G53" s="896" t="s">
        <v>22</v>
      </c>
      <c r="I53" s="746"/>
      <c r="K53" s="57" t="s">
        <v>17</v>
      </c>
      <c r="L53" s="838"/>
      <c r="M53" s="838"/>
      <c r="N53" s="712"/>
      <c r="P53" s="350"/>
      <c r="R53" s="57" t="s">
        <v>17</v>
      </c>
      <c r="S53" s="838"/>
      <c r="T53" s="838"/>
      <c r="U53" s="712"/>
      <c r="W53" s="15"/>
    </row>
    <row r="54" spans="2:49" ht="13.5" thickBot="1" x14ac:dyDescent="0.25">
      <c r="B54" s="358"/>
      <c r="D54" s="7" t="s">
        <v>403</v>
      </c>
      <c r="E54" s="841">
        <v>0</v>
      </c>
      <c r="F54" s="104"/>
      <c r="G54" s="1445">
        <v>1</v>
      </c>
      <c r="I54" s="746"/>
      <c r="K54" s="3" t="s">
        <v>207</v>
      </c>
      <c r="L54" s="845">
        <v>0</v>
      </c>
      <c r="M54" s="267"/>
      <c r="N54" s="357" t="s">
        <v>48</v>
      </c>
      <c r="P54" s="350"/>
      <c r="R54" s="3" t="s">
        <v>207</v>
      </c>
      <c r="S54" s="845">
        <v>0</v>
      </c>
      <c r="T54" s="267"/>
      <c r="U54" s="357" t="s">
        <v>48</v>
      </c>
      <c r="W54" s="15"/>
    </row>
    <row r="55" spans="2:49" ht="13.5" thickBot="1" x14ac:dyDescent="0.25">
      <c r="B55" s="358"/>
      <c r="E55" s="319"/>
      <c r="F55" s="319"/>
      <c r="G55" s="319"/>
      <c r="I55" s="746"/>
      <c r="K55" s="2" t="s">
        <v>13</v>
      </c>
      <c r="L55" s="841">
        <v>0</v>
      </c>
      <c r="M55" s="846"/>
      <c r="N55" s="1445">
        <v>1</v>
      </c>
      <c r="P55" s="350"/>
      <c r="R55" s="2" t="s">
        <v>13</v>
      </c>
      <c r="S55" s="841">
        <v>0</v>
      </c>
      <c r="T55" s="846"/>
      <c r="U55" s="1445">
        <v>1</v>
      </c>
      <c r="W55" s="15"/>
    </row>
    <row r="56" spans="2:49" ht="13.5" thickBot="1" x14ac:dyDescent="0.25">
      <c r="B56" s="358"/>
      <c r="D56" s="61" t="s">
        <v>56</v>
      </c>
      <c r="E56" s="352"/>
      <c r="F56" s="352"/>
      <c r="G56" s="901"/>
      <c r="I56" s="746"/>
      <c r="K56" s="3" t="s">
        <v>19</v>
      </c>
      <c r="L56" s="845">
        <v>0</v>
      </c>
      <c r="M56" s="846"/>
      <c r="N56" s="847"/>
      <c r="P56" s="350"/>
      <c r="R56" s="3" t="s">
        <v>19</v>
      </c>
      <c r="S56" s="845">
        <v>0</v>
      </c>
      <c r="T56" s="846"/>
      <c r="U56" s="847"/>
      <c r="W56" s="15"/>
    </row>
    <row r="57" spans="2:49" ht="13.5" thickBot="1" x14ac:dyDescent="0.25">
      <c r="B57" s="358"/>
      <c r="D57" s="5" t="s">
        <v>15</v>
      </c>
      <c r="E57" s="902" t="s">
        <v>1</v>
      </c>
      <c r="F57" s="826"/>
      <c r="G57" s="713"/>
      <c r="I57" s="746"/>
      <c r="K57" s="2" t="s">
        <v>551</v>
      </c>
      <c r="L57" s="1207">
        <f>'10. Verot'!$C$17/100</f>
        <v>1.3709677419354838</v>
      </c>
      <c r="M57" s="848"/>
      <c r="N57" s="849"/>
      <c r="P57" s="350"/>
      <c r="R57" s="2" t="s">
        <v>551</v>
      </c>
      <c r="S57" s="1207">
        <f>'10. Verot'!$C$17/100</f>
        <v>1.3709677419354838</v>
      </c>
      <c r="T57" s="848"/>
      <c r="U57" s="849"/>
      <c r="W57" s="15"/>
      <c r="AN57"/>
    </row>
    <row r="58" spans="2:49" ht="13.5" thickBot="1" x14ac:dyDescent="0.25">
      <c r="B58" s="358"/>
      <c r="D58" s="12" t="s">
        <v>2</v>
      </c>
      <c r="E58" s="1442">
        <v>0</v>
      </c>
      <c r="F58" s="12"/>
      <c r="G58" s="357" t="s">
        <v>43</v>
      </c>
      <c r="I58" s="746"/>
      <c r="K58" s="3" t="s">
        <v>203</v>
      </c>
      <c r="L58" s="423">
        <f>IF(N6=0,0,L54*L56*L57)</f>
        <v>0</v>
      </c>
      <c r="M58" s="838"/>
      <c r="N58" s="712"/>
      <c r="P58" s="350"/>
      <c r="R58" s="3" t="s">
        <v>203</v>
      </c>
      <c r="S58" s="423">
        <f>IF(U6=0,0,S54*S56*S57)</f>
        <v>0</v>
      </c>
      <c r="T58" s="838"/>
      <c r="U58" s="712"/>
      <c r="W58" s="15"/>
      <c r="AN58"/>
    </row>
    <row r="59" spans="2:49" ht="13.5" thickBot="1" x14ac:dyDescent="0.25">
      <c r="B59" s="358"/>
      <c r="D59" s="64" t="s">
        <v>3</v>
      </c>
      <c r="E59" s="1442">
        <v>0</v>
      </c>
      <c r="F59" s="302"/>
      <c r="G59" s="903">
        <f>IF(G6=0,0,E59-E58)</f>
        <v>0</v>
      </c>
      <c r="I59" s="746"/>
      <c r="K59" s="3" t="s">
        <v>206</v>
      </c>
      <c r="L59" s="423">
        <f>IF(N6=0,0,L55*L54*N55)</f>
        <v>0</v>
      </c>
      <c r="M59" s="838"/>
      <c r="N59" s="712"/>
      <c r="P59" s="350"/>
      <c r="R59" s="3" t="s">
        <v>206</v>
      </c>
      <c r="S59" s="423">
        <f>IF(U6=0,0,S55*S54*U55)</f>
        <v>0</v>
      </c>
      <c r="T59" s="838"/>
      <c r="U59" s="712"/>
      <c r="W59" s="15"/>
    </row>
    <row r="60" spans="2:49" ht="13.5" thickBot="1" x14ac:dyDescent="0.25">
      <c r="B60" s="358"/>
      <c r="D60" s="57" t="s">
        <v>5</v>
      </c>
      <c r="E60" s="827"/>
      <c r="F60" s="827"/>
      <c r="G60" s="357" t="s">
        <v>59</v>
      </c>
      <c r="I60" s="746"/>
      <c r="K60" s="25" t="s">
        <v>530</v>
      </c>
      <c r="L60" s="423">
        <f>IF(N6=0,0,L59*'11. Työtunnit'!$C$7)</f>
        <v>0</v>
      </c>
      <c r="M60" s="839"/>
      <c r="N60" s="840"/>
      <c r="P60" s="350"/>
      <c r="R60" s="25" t="s">
        <v>530</v>
      </c>
      <c r="S60" s="423">
        <f>IF(U6=0,0,S59*'11. Työtunnit'!$C$7)</f>
        <v>0</v>
      </c>
      <c r="T60" s="839"/>
      <c r="U60" s="840"/>
      <c r="W60" s="15"/>
      <c r="AN60"/>
    </row>
    <row r="61" spans="2:49" ht="13.5" thickBot="1" x14ac:dyDescent="0.25">
      <c r="B61" s="358"/>
      <c r="D61" s="7" t="s">
        <v>6</v>
      </c>
      <c r="E61" s="1443">
        <v>0</v>
      </c>
      <c r="F61" s="92"/>
      <c r="G61" s="904">
        <f>IF(G6=0,0,ROUND(G59/7*E61,0))</f>
        <v>0</v>
      </c>
      <c r="I61" s="746"/>
      <c r="L61" s="319"/>
      <c r="M61" s="319"/>
      <c r="N61" s="319"/>
      <c r="P61" s="350"/>
      <c r="S61" s="319"/>
      <c r="T61" s="319"/>
      <c r="U61" s="319"/>
      <c r="W61" s="15"/>
    </row>
    <row r="62" spans="2:49" ht="13.5" thickBot="1" x14ac:dyDescent="0.25">
      <c r="B62" s="358"/>
      <c r="E62" s="319"/>
      <c r="F62" s="319"/>
      <c r="G62" s="327"/>
      <c r="I62" s="746"/>
      <c r="K62" s="163" t="s">
        <v>175</v>
      </c>
      <c r="L62" s="850"/>
      <c r="M62" s="353"/>
      <c r="N62" s="832"/>
      <c r="P62" s="350"/>
      <c r="R62" s="163" t="s">
        <v>175</v>
      </c>
      <c r="S62" s="850"/>
      <c r="T62" s="353"/>
      <c r="U62" s="832"/>
      <c r="W62" s="15"/>
    </row>
    <row r="63" spans="2:49" ht="13.5" thickBot="1" x14ac:dyDescent="0.25">
      <c r="B63" s="358"/>
      <c r="D63" s="61" t="s">
        <v>57</v>
      </c>
      <c r="E63" s="352"/>
      <c r="F63" s="352"/>
      <c r="G63" s="901"/>
      <c r="I63" s="746"/>
      <c r="K63" s="159" t="s">
        <v>35</v>
      </c>
      <c r="L63" s="1447">
        <v>0</v>
      </c>
      <c r="M63" s="91"/>
      <c r="N63" s="830"/>
      <c r="P63" s="350"/>
      <c r="R63" s="159" t="s">
        <v>35</v>
      </c>
      <c r="S63" s="1447">
        <v>0</v>
      </c>
      <c r="T63" s="91"/>
      <c r="U63" s="830"/>
      <c r="W63" s="15"/>
    </row>
    <row r="64" spans="2:49" ht="13.5" thickBot="1" x14ac:dyDescent="0.25">
      <c r="B64" s="358"/>
      <c r="D64" s="9" t="s">
        <v>7</v>
      </c>
      <c r="E64" s="833"/>
      <c r="F64" s="826"/>
      <c r="G64" s="105"/>
      <c r="I64" s="746"/>
      <c r="K64" s="20" t="s">
        <v>311</v>
      </c>
      <c r="L64" s="430">
        <f>IF(N6=0,0,'3 Saalis'!D263/100*'2.2 Rysäpyynti'!L63)</f>
        <v>0</v>
      </c>
      <c r="M64" s="12"/>
      <c r="N64" s="829"/>
      <c r="P64" s="350"/>
      <c r="R64" s="20" t="s">
        <v>311</v>
      </c>
      <c r="S64" s="430">
        <f>IF(U6=0,0,'3 Saalis'!D285/100*S63)</f>
        <v>0</v>
      </c>
      <c r="T64" s="12"/>
      <c r="U64" s="829"/>
      <c r="W64" s="15"/>
    </row>
    <row r="65" spans="2:23" ht="13.5" thickBot="1" x14ac:dyDescent="0.25">
      <c r="B65" s="358"/>
      <c r="D65" s="2" t="s">
        <v>9</v>
      </c>
      <c r="E65" s="845">
        <v>0</v>
      </c>
      <c r="F65" s="12"/>
      <c r="G65" s="357"/>
      <c r="I65" s="746"/>
      <c r="K65" s="20" t="s">
        <v>198</v>
      </c>
      <c r="L65" s="431">
        <f>IF(N6=0,0,L64*'11. Työtunnit'!$C$7)</f>
        <v>0</v>
      </c>
      <c r="M65" s="12"/>
      <c r="N65" s="1358" t="s">
        <v>626</v>
      </c>
      <c r="P65" s="350"/>
      <c r="R65" s="20" t="s">
        <v>198</v>
      </c>
      <c r="S65" s="431">
        <f>IF(U6=0,0,S64*'11. Työtunnit'!$C$7)</f>
        <v>0</v>
      </c>
      <c r="T65" s="12"/>
      <c r="U65" s="1358" t="s">
        <v>626</v>
      </c>
      <c r="W65" s="15"/>
    </row>
    <row r="66" spans="2:23" ht="13.5" thickBot="1" x14ac:dyDescent="0.25">
      <c r="B66" s="358"/>
      <c r="D66" s="2" t="s">
        <v>8</v>
      </c>
      <c r="E66" s="845">
        <v>0</v>
      </c>
      <c r="F66" s="12"/>
      <c r="G66" s="357" t="s">
        <v>48</v>
      </c>
      <c r="I66" s="746"/>
      <c r="K66" s="25" t="s">
        <v>312</v>
      </c>
      <c r="L66" s="423">
        <f>IF(N6=0,0,(('3 Saalis'!D251-(('4 Myynti'!D31+'4 Myynti'!D40)*(IF('3 Saalis'!D9=0,0,'3 Saalis'!D251/'3 Saalis'!D9))))*'5 Kalan alkukäsittely satamassa'!$D$48)+(('3 Saalis'!D259-(('4 Myynti'!D151+'4 Myynti'!D155+'4 Myynti'!D156)*(IF('3 Saalis'!D17=0,0,'3 Saalis'!D259/'3 Saalis'!D17))))*'5 Kalan alkukäsittely satamassa'!$D$48)+(('3 Saalis'!D260-(('4 Myynti'!D165+'4 Myynti'!D169+'4 Myynti'!D170)*(IF('3 Saalis'!D18=0,0,'3 Saalis'!D260/'3 Saalis'!D18))))*'5 Kalan alkukäsittely satamassa'!$D$48)+(('3 Saalis'!D262-(('4 Myynti'!D189+'4 Myynti'!D193+'4 Myynti'!D194)*(IF('3 Saalis'!D20=0,0,'3 Saalis'!D262/'3 Saalis'!D20))))*'5 Kalan alkukäsittely satamassa'!$D$48)+('3 Saalis'!D263-'3 Saalis'!D251-'3 Saalis'!D259-'3 Saalis'!D260-'3 Saalis'!D261-'3 Saalis'!D262)*'5 Kalan alkukäsittely satamassa'!$D$48)</f>
        <v>0</v>
      </c>
      <c r="M66" s="92"/>
      <c r="N66" s="420">
        <f>IF(N6=0,0,L66*'5 Kalan alkukäsittely satamassa'!$G$46/1000)</f>
        <v>0</v>
      </c>
      <c r="P66" s="350"/>
      <c r="R66" s="25" t="s">
        <v>312</v>
      </c>
      <c r="S66" s="423">
        <f>IF(U6=0,0,(('3 Saalis'!D273-(('4 Myynti'!D31+'4 Myynti'!D40)*(IF('3 Saalis'!D9=0,0,'3 Saalis'!D273/'3 Saalis'!D9))))*'5 Kalan alkukäsittely satamassa'!$D$48)+(('3 Saalis'!D281-(('4 Myynti'!D151+'4 Myynti'!D155+'4 Myynti'!D156)*(IF('3 Saalis'!D17=0,0,'3 Saalis'!D281/'3 Saalis'!D17))))*'5 Kalan alkukäsittely satamassa'!$D$48)+(('3 Saalis'!D282-(('4 Myynti'!D165+'4 Myynti'!D169+'4 Myynti'!D170)*(IF('3 Saalis'!D18=0,0,'3 Saalis'!D282/'3 Saalis'!D18))))*'5 Kalan alkukäsittely satamassa'!$D$48)+(('3 Saalis'!D284-(('4 Myynti'!D189+'4 Myynti'!D193+'4 Myynti'!D194)*(IF('3 Saalis'!D20=0,0,'3 Saalis'!D284/'3 Saalis'!D20))))*'5 Kalan alkukäsittely satamassa'!$D$48)+('3 Saalis'!D285-'3 Saalis'!D273-'3 Saalis'!D281-'3 Saalis'!D282-'3 Saalis'!D283-'3 Saalis'!D284)*'5 Kalan alkukäsittely satamassa'!$D$48)</f>
        <v>0</v>
      </c>
      <c r="T66" s="92"/>
      <c r="U66" s="420">
        <f>IF(U6=0,0,S66*'5 Kalan alkukäsittely satamassa'!$G$46/1000)</f>
        <v>0</v>
      </c>
      <c r="W66" s="15"/>
    </row>
    <row r="67" spans="2:23" ht="13.5" thickBot="1" x14ac:dyDescent="0.25">
      <c r="B67" s="358"/>
      <c r="D67" s="2" t="s">
        <v>11</v>
      </c>
      <c r="E67" s="841">
        <v>0</v>
      </c>
      <c r="F67" s="12"/>
      <c r="G67" s="1445">
        <v>1</v>
      </c>
      <c r="I67" s="746"/>
      <c r="L67" s="319"/>
      <c r="M67" s="319"/>
      <c r="N67" s="319"/>
      <c r="P67" s="350"/>
      <c r="S67" s="319"/>
      <c r="T67" s="319"/>
      <c r="U67" s="319"/>
      <c r="W67" s="15"/>
    </row>
    <row r="68" spans="2:23" ht="13.5" thickBot="1" x14ac:dyDescent="0.25">
      <c r="B68" s="358"/>
      <c r="D68" s="2" t="s">
        <v>50</v>
      </c>
      <c r="E68" s="845">
        <v>0</v>
      </c>
      <c r="F68" s="12"/>
      <c r="G68" s="357" t="s">
        <v>48</v>
      </c>
      <c r="I68" s="746"/>
      <c r="K68" s="61" t="s">
        <v>338</v>
      </c>
      <c r="L68" s="352"/>
      <c r="M68" s="352"/>
      <c r="N68" s="745"/>
      <c r="P68" s="350"/>
      <c r="R68" s="61" t="s">
        <v>338</v>
      </c>
      <c r="S68" s="352"/>
      <c r="T68" s="352"/>
      <c r="U68" s="745"/>
      <c r="W68" s="15"/>
    </row>
    <row r="69" spans="2:23" ht="13.5" thickBot="1" x14ac:dyDescent="0.25">
      <c r="B69" s="358"/>
      <c r="D69" s="2" t="s">
        <v>49</v>
      </c>
      <c r="E69" s="1444">
        <v>0</v>
      </c>
      <c r="F69" s="12"/>
      <c r="G69" s="1445">
        <v>1</v>
      </c>
      <c r="I69" s="746"/>
      <c r="K69" s="159" t="s">
        <v>199</v>
      </c>
      <c r="L69" s="845">
        <v>0</v>
      </c>
      <c r="M69" s="91"/>
      <c r="N69" s="713" t="s">
        <v>48</v>
      </c>
      <c r="P69" s="350"/>
      <c r="R69" s="159" t="s">
        <v>199</v>
      </c>
      <c r="S69" s="845">
        <v>0</v>
      </c>
      <c r="T69" s="91"/>
      <c r="U69" s="713" t="s">
        <v>48</v>
      </c>
      <c r="W69" s="15"/>
    </row>
    <row r="70" spans="2:23" ht="13.5" thickBot="1" x14ac:dyDescent="0.25">
      <c r="B70" s="358"/>
      <c r="D70" s="2" t="s">
        <v>10</v>
      </c>
      <c r="E70" s="845">
        <v>0</v>
      </c>
      <c r="F70" s="12"/>
      <c r="G70" s="357"/>
      <c r="I70" s="746"/>
      <c r="K70" s="23" t="s">
        <v>193</v>
      </c>
      <c r="L70" s="841">
        <v>0</v>
      </c>
      <c r="M70" s="12"/>
      <c r="N70" s="1445">
        <v>1</v>
      </c>
      <c r="P70" s="350"/>
      <c r="R70" s="23" t="s">
        <v>193</v>
      </c>
      <c r="S70" s="841">
        <v>0</v>
      </c>
      <c r="T70" s="12"/>
      <c r="U70" s="1445">
        <v>1</v>
      </c>
      <c r="W70" s="15"/>
    </row>
    <row r="71" spans="2:23" ht="13.5" thickBot="1" x14ac:dyDescent="0.25">
      <c r="B71" s="358"/>
      <c r="D71" s="2" t="s">
        <v>53</v>
      </c>
      <c r="E71" s="1171">
        <f>E19</f>
        <v>0</v>
      </c>
      <c r="F71" s="12"/>
      <c r="G71" s="357"/>
      <c r="I71" s="746"/>
      <c r="K71" s="23" t="s">
        <v>192</v>
      </c>
      <c r="L71" s="845">
        <v>0</v>
      </c>
      <c r="M71" s="12"/>
      <c r="N71" s="357"/>
      <c r="P71" s="350"/>
      <c r="R71" s="23" t="s">
        <v>192</v>
      </c>
      <c r="S71" s="845">
        <v>0</v>
      </c>
      <c r="T71" s="12"/>
      <c r="U71" s="357"/>
      <c r="W71" s="15"/>
    </row>
    <row r="72" spans="2:23" ht="13.5" thickBot="1" x14ac:dyDescent="0.25">
      <c r="B72" s="358"/>
      <c r="D72" s="2" t="s">
        <v>550</v>
      </c>
      <c r="E72" s="1172">
        <f>E20</f>
        <v>1.3709677419354838</v>
      </c>
      <c r="F72" s="12"/>
      <c r="G72" s="357"/>
      <c r="I72" s="746"/>
      <c r="K72" s="12" t="s">
        <v>379</v>
      </c>
      <c r="L72" s="617">
        <f>IF(N6=0,0,L69*L39/100*L40*L71)</f>
        <v>0</v>
      </c>
      <c r="M72" s="12"/>
      <c r="N72" s="357"/>
      <c r="P72" s="350"/>
      <c r="R72" s="12" t="s">
        <v>379</v>
      </c>
      <c r="S72" s="617">
        <f>IF(U6=0,0,S69*S39/100*S40*S71)</f>
        <v>0</v>
      </c>
      <c r="T72" s="12"/>
      <c r="U72" s="357"/>
      <c r="W72" s="15"/>
    </row>
    <row r="73" spans="2:23" ht="13.5" thickBot="1" x14ac:dyDescent="0.25">
      <c r="B73" s="358"/>
      <c r="D73" s="3" t="s">
        <v>12</v>
      </c>
      <c r="E73" s="422">
        <f>IF(G6=0,0,E66*E65+E68*E70)</f>
        <v>0</v>
      </c>
      <c r="F73" s="12"/>
      <c r="G73" s="357"/>
      <c r="I73" s="746"/>
      <c r="K73" s="1199" t="s">
        <v>630</v>
      </c>
      <c r="L73" s="863">
        <f>IF(N6=0,0,N70*L71*L70*'11. Työtunnit'!$C$7)</f>
        <v>0</v>
      </c>
      <c r="M73" s="92"/>
      <c r="N73" s="857"/>
      <c r="P73" s="350"/>
      <c r="R73" s="1199" t="s">
        <v>630</v>
      </c>
      <c r="S73" s="863">
        <f>IF(U6=0,0,U70*S71*S70*'11. Työtunnit'!C7)</f>
        <v>0</v>
      </c>
      <c r="T73" s="92"/>
      <c r="U73" s="857"/>
      <c r="W73" s="15"/>
    </row>
    <row r="74" spans="2:23" ht="13.5" thickBot="1" x14ac:dyDescent="0.25">
      <c r="B74" s="358"/>
      <c r="D74" s="3" t="s">
        <v>27</v>
      </c>
      <c r="E74" s="427">
        <f>IF(G6=0,0,(E73/100)*E71*E72)</f>
        <v>0</v>
      </c>
      <c r="F74" s="12"/>
      <c r="G74" s="357"/>
      <c r="I74" s="746"/>
      <c r="L74" s="319"/>
      <c r="M74" s="319"/>
      <c r="N74" s="319"/>
      <c r="P74" s="350"/>
      <c r="S74" s="319"/>
      <c r="T74" s="319"/>
      <c r="U74" s="319"/>
      <c r="W74" s="15"/>
    </row>
    <row r="75" spans="2:23" ht="13.5" thickBot="1" x14ac:dyDescent="0.25">
      <c r="B75" s="358"/>
      <c r="D75" s="3" t="s">
        <v>332</v>
      </c>
      <c r="E75" s="423">
        <f>IF(G6=0,0,E65*E67*G67+E70*E69*G69)</f>
        <v>0</v>
      </c>
      <c r="F75" s="827"/>
      <c r="G75" s="357"/>
      <c r="I75" s="746"/>
      <c r="L75" s="319"/>
      <c r="M75" s="319"/>
      <c r="N75" s="319"/>
      <c r="P75" s="350"/>
      <c r="S75" s="319"/>
      <c r="T75" s="319"/>
      <c r="U75" s="319"/>
      <c r="W75" s="15"/>
    </row>
    <row r="76" spans="2:23" ht="13.5" thickBot="1" x14ac:dyDescent="0.25">
      <c r="B76" s="358"/>
      <c r="D76" s="64" t="s">
        <v>159</v>
      </c>
      <c r="E76" s="423">
        <f>IF(G6=0,0,E75*'11. Työtunnit'!$C$7)</f>
        <v>0</v>
      </c>
      <c r="F76" s="302"/>
      <c r="G76" s="894"/>
      <c r="I76" s="746"/>
      <c r="L76" s="319"/>
      <c r="M76" s="319"/>
      <c r="N76" s="319"/>
      <c r="P76" s="350"/>
      <c r="S76" s="319"/>
      <c r="T76" s="319"/>
      <c r="U76" s="319"/>
      <c r="W76" s="15"/>
    </row>
    <row r="77" spans="2:23" ht="13.5" thickBot="1" x14ac:dyDescent="0.25">
      <c r="B77" s="358"/>
      <c r="D77" s="57" t="s">
        <v>14</v>
      </c>
      <c r="E77" s="835"/>
      <c r="F77" s="827"/>
      <c r="G77" s="357"/>
      <c r="I77" s="746"/>
      <c r="P77" s="350"/>
      <c r="W77" s="15"/>
    </row>
    <row r="78" spans="2:23" ht="13.5" thickBot="1" x14ac:dyDescent="0.25">
      <c r="B78" s="358"/>
      <c r="D78" s="3" t="s">
        <v>18</v>
      </c>
      <c r="E78" s="845">
        <v>0</v>
      </c>
      <c r="F78" s="12"/>
      <c r="G78" s="357" t="s">
        <v>48</v>
      </c>
      <c r="I78" s="746"/>
      <c r="L78" s="319"/>
      <c r="M78" s="319"/>
      <c r="N78" s="319"/>
      <c r="P78" s="350"/>
      <c r="S78" s="319"/>
      <c r="T78" s="319"/>
      <c r="U78" s="319"/>
      <c r="W78" s="15"/>
    </row>
    <row r="79" spans="2:23" ht="13.5" thickBot="1" x14ac:dyDescent="0.25">
      <c r="B79" s="358"/>
      <c r="D79" s="2" t="s">
        <v>16</v>
      </c>
      <c r="E79" s="905">
        <v>0</v>
      </c>
      <c r="F79" s="12"/>
      <c r="G79" s="1445">
        <v>1</v>
      </c>
      <c r="I79" s="746"/>
      <c r="L79" s="319"/>
      <c r="M79" s="319"/>
      <c r="N79" s="319"/>
      <c r="P79" s="350"/>
      <c r="S79" s="319"/>
      <c r="T79" s="319"/>
      <c r="U79" s="319"/>
      <c r="W79" s="15"/>
    </row>
    <row r="80" spans="2:23" ht="13.5" thickBot="1" x14ac:dyDescent="0.25">
      <c r="B80" s="358"/>
      <c r="D80" s="12" t="s">
        <v>205</v>
      </c>
      <c r="E80" s="841">
        <v>0</v>
      </c>
      <c r="F80" s="12"/>
      <c r="G80" s="357" t="s">
        <v>439</v>
      </c>
      <c r="I80" s="746"/>
      <c r="L80" s="319"/>
      <c r="M80" s="319"/>
      <c r="N80" s="319"/>
      <c r="P80" s="350"/>
      <c r="S80" s="319"/>
      <c r="T80" s="319"/>
      <c r="U80" s="319"/>
      <c r="W80" s="15"/>
    </row>
    <row r="81" spans="2:23" ht="13.5" thickBot="1" x14ac:dyDescent="0.25">
      <c r="B81" s="358"/>
      <c r="D81" s="2" t="s">
        <v>549</v>
      </c>
      <c r="E81" s="1208">
        <f>IF(G81=1,'10. Verot'!$C$18/100,IF(G81=2,'10. Verot'!$E$18/100))</f>
        <v>0.72056774193548379</v>
      </c>
      <c r="F81" s="12"/>
      <c r="G81" s="843">
        <v>1</v>
      </c>
      <c r="I81" s="746"/>
      <c r="L81" s="319"/>
      <c r="M81" s="319"/>
      <c r="N81" s="319"/>
      <c r="P81" s="350"/>
      <c r="S81" s="319"/>
      <c r="T81" s="319"/>
      <c r="U81" s="319"/>
      <c r="W81" s="15"/>
    </row>
    <row r="82" spans="2:23" ht="13.5" thickBot="1" x14ac:dyDescent="0.25">
      <c r="B82" s="358"/>
      <c r="D82" s="3" t="s">
        <v>169</v>
      </c>
      <c r="E82" s="427">
        <f>IF(G6=0,0,E78*E80*E81)</f>
        <v>0</v>
      </c>
      <c r="F82" s="12"/>
      <c r="G82" s="357"/>
      <c r="I82" s="746"/>
      <c r="L82" s="319"/>
      <c r="M82" s="319"/>
      <c r="N82" s="319"/>
      <c r="P82" s="350"/>
      <c r="S82" s="319"/>
      <c r="T82" s="319"/>
      <c r="U82" s="319"/>
      <c r="W82" s="15"/>
    </row>
    <row r="83" spans="2:23" ht="13.5" thickBot="1" x14ac:dyDescent="0.25">
      <c r="B83" s="358"/>
      <c r="D83" s="3" t="s">
        <v>28</v>
      </c>
      <c r="E83" s="423">
        <f>IF(G6=0,0,E79*E78*G79)</f>
        <v>0</v>
      </c>
      <c r="F83" s="827"/>
      <c r="G83" s="357"/>
      <c r="I83" s="746"/>
      <c r="L83" s="319"/>
      <c r="M83" s="319"/>
      <c r="N83" s="319"/>
      <c r="P83" s="350"/>
      <c r="S83" s="319"/>
      <c r="T83" s="319"/>
      <c r="U83" s="319"/>
      <c r="W83" s="15"/>
    </row>
    <row r="84" spans="2:23" ht="13.5" thickBot="1" x14ac:dyDescent="0.25">
      <c r="B84" s="358"/>
      <c r="D84" s="7" t="s">
        <v>194</v>
      </c>
      <c r="E84" s="422">
        <f>IF(G6=0,0,E83*'11. Työtunnit'!$C$7)</f>
        <v>0</v>
      </c>
      <c r="F84" s="92"/>
      <c r="G84" s="857"/>
      <c r="I84" s="746"/>
      <c r="L84" s="319"/>
      <c r="M84" s="319"/>
      <c r="N84" s="319"/>
      <c r="P84" s="350"/>
      <c r="S84" s="319"/>
      <c r="T84" s="319"/>
      <c r="U84" s="319"/>
      <c r="W84" s="15"/>
    </row>
    <row r="85" spans="2:23" ht="13.5" thickBot="1" x14ac:dyDescent="0.25">
      <c r="B85" s="358"/>
      <c r="E85" s="319"/>
      <c r="F85" s="319"/>
      <c r="G85" s="327"/>
      <c r="I85" s="746"/>
      <c r="L85" s="319"/>
      <c r="M85" s="319"/>
      <c r="N85" s="319"/>
      <c r="P85" s="350"/>
      <c r="S85" s="319"/>
      <c r="T85" s="319"/>
      <c r="U85" s="319"/>
      <c r="W85" s="15"/>
    </row>
    <row r="86" spans="2:23" ht="13.5" thickBot="1" x14ac:dyDescent="0.25">
      <c r="B86" s="358"/>
      <c r="D86" s="119" t="s">
        <v>175</v>
      </c>
      <c r="E86" s="850"/>
      <c r="F86" s="352"/>
      <c r="G86" s="901"/>
      <c r="I86" s="746"/>
      <c r="L86" s="319"/>
      <c r="M86" s="319"/>
      <c r="N86" s="319"/>
      <c r="P86" s="350"/>
      <c r="S86" s="319"/>
      <c r="T86" s="319"/>
      <c r="U86" s="319"/>
      <c r="W86" s="15"/>
    </row>
    <row r="87" spans="2:23" ht="13.5" thickBot="1" x14ac:dyDescent="0.25">
      <c r="B87" s="358"/>
      <c r="D87" s="158"/>
      <c r="E87" s="826" t="s">
        <v>1</v>
      </c>
      <c r="F87" s="826"/>
      <c r="G87" s="713" t="s">
        <v>48</v>
      </c>
      <c r="I87" s="746"/>
      <c r="L87" s="319"/>
      <c r="M87" s="319"/>
      <c r="N87" s="319"/>
      <c r="P87" s="350"/>
      <c r="S87" s="319"/>
      <c r="T87" s="319"/>
      <c r="U87" s="319"/>
      <c r="W87" s="15"/>
    </row>
    <row r="88" spans="2:23" ht="13.5" thickBot="1" x14ac:dyDescent="0.25">
      <c r="B88" s="358"/>
      <c r="D88" s="2" t="s">
        <v>190</v>
      </c>
      <c r="E88" s="1443">
        <v>0</v>
      </c>
      <c r="F88" s="827"/>
      <c r="G88" s="1445">
        <v>1</v>
      </c>
      <c r="I88" s="746"/>
      <c r="L88" s="319"/>
      <c r="M88" s="319"/>
      <c r="N88" s="319"/>
      <c r="P88" s="350"/>
      <c r="S88" s="319"/>
      <c r="T88" s="319"/>
      <c r="U88" s="319"/>
      <c r="W88" s="15"/>
    </row>
    <row r="89" spans="2:23" ht="13.5" thickBot="1" x14ac:dyDescent="0.25">
      <c r="B89" s="358"/>
      <c r="D89" s="2" t="s">
        <v>191</v>
      </c>
      <c r="E89" s="1443">
        <v>0</v>
      </c>
      <c r="F89" s="827"/>
      <c r="G89" s="1445">
        <v>1</v>
      </c>
      <c r="I89" s="746"/>
      <c r="L89" s="319"/>
      <c r="M89" s="319"/>
      <c r="N89" s="319"/>
      <c r="P89" s="350"/>
      <c r="S89" s="319"/>
      <c r="T89" s="319"/>
      <c r="U89" s="319"/>
      <c r="W89" s="15"/>
    </row>
    <row r="90" spans="2:23" ht="13.5" thickBot="1" x14ac:dyDescent="0.25">
      <c r="B90" s="358"/>
      <c r="D90" s="12" t="s">
        <v>405</v>
      </c>
      <c r="E90" s="1443">
        <v>0</v>
      </c>
      <c r="F90" s="827"/>
      <c r="G90" s="1445">
        <v>1</v>
      </c>
      <c r="I90" s="746"/>
      <c r="L90" s="319"/>
      <c r="M90" s="319"/>
      <c r="N90" s="319"/>
      <c r="P90" s="350"/>
      <c r="S90" s="319"/>
      <c r="T90" s="319"/>
      <c r="U90" s="319"/>
      <c r="W90" s="15"/>
    </row>
    <row r="91" spans="2:23" ht="13.5" thickBot="1" x14ac:dyDescent="0.25">
      <c r="B91" s="358"/>
      <c r="D91" s="3" t="s">
        <v>160</v>
      </c>
      <c r="E91" s="427">
        <f>IF(G6=0,0,(E88*G88+E89*G89+E90*G90))</f>
        <v>0</v>
      </c>
      <c r="F91" s="827"/>
      <c r="G91" s="357"/>
      <c r="I91" s="746"/>
      <c r="L91" s="319"/>
      <c r="M91" s="319"/>
      <c r="N91" s="319"/>
      <c r="P91" s="350"/>
      <c r="S91" s="319"/>
      <c r="T91" s="319"/>
      <c r="U91" s="319"/>
      <c r="W91" s="15"/>
    </row>
    <row r="92" spans="2:23" ht="13.5" thickBot="1" x14ac:dyDescent="0.25">
      <c r="B92" s="358"/>
      <c r="D92" s="3" t="s">
        <v>161</v>
      </c>
      <c r="E92" s="423">
        <f>IF(G6=0,0,E91*G61)</f>
        <v>0</v>
      </c>
      <c r="F92" s="827"/>
      <c r="G92" s="357"/>
      <c r="I92" s="746"/>
      <c r="L92" s="319"/>
      <c r="M92" s="319"/>
      <c r="N92" s="319"/>
      <c r="P92" s="350"/>
      <c r="S92" s="319"/>
      <c r="T92" s="319"/>
      <c r="U92" s="319"/>
      <c r="W92" s="15"/>
    </row>
    <row r="93" spans="2:23" ht="13.5" thickBot="1" x14ac:dyDescent="0.25">
      <c r="B93" s="358"/>
      <c r="D93" s="3" t="s">
        <v>627</v>
      </c>
      <c r="E93" s="423">
        <f>IF(G6=0,0,E92*'11. Työtunnit'!$C$7)</f>
        <v>0</v>
      </c>
      <c r="F93" s="827"/>
      <c r="G93" s="1358" t="s">
        <v>626</v>
      </c>
      <c r="I93" s="746"/>
      <c r="L93" s="319"/>
      <c r="M93" s="319"/>
      <c r="N93" s="319"/>
      <c r="P93" s="350"/>
      <c r="S93" s="319"/>
      <c r="T93" s="319"/>
      <c r="U93" s="319"/>
      <c r="W93" s="15"/>
    </row>
    <row r="94" spans="2:23" ht="13.5" thickBot="1" x14ac:dyDescent="0.25">
      <c r="B94" s="358"/>
      <c r="D94" s="7" t="s">
        <v>312</v>
      </c>
      <c r="E94" s="423">
        <f>IF(G6=0,0,(('3 Saalis'!D207-(('4 Myynti'!D31+'4 Myynti'!D40)*(IF('3 Saalis'!D9=0,0,'3 Saalis'!D207/'3 Saalis'!D9))))*'5 Kalan alkukäsittely satamassa'!$D$47)+(('3 Saalis'!D215-(('4 Myynti'!D151+'4 Myynti'!D155+'4 Myynti'!D156)*(IF('3 Saalis'!D17=0,0,'3 Saalis'!D215/'3 Saalis'!D17))))*'5 Kalan alkukäsittely satamassa'!$D$48)+(('3 Saalis'!D216-(('4 Myynti'!D165+'4 Myynti'!D169+'4 Myynti'!D170)*(IF('3 Saalis'!D18=0,0,'3 Saalis'!D216/'3 Saalis'!D18))))*'5 Kalan alkukäsittely satamassa'!$D$48)+(('3 Saalis'!D218-(('4 Myynti'!D189+'4 Myynti'!D193+'4 Myynti'!D194)*(IF('3 Saalis'!D20=0,0,'3 Saalis'!D218/'3 Saalis'!D20))))*'5 Kalan alkukäsittely satamassa'!$D$48)+('3 Saalis'!D219-'3 Saalis'!D207-'3 Saalis'!D215-'3 Saalis'!D216-'3 Saalis'!D217-'3 Saalis'!D218)*'5 Kalan alkukäsittely satamassa'!$D$48)</f>
        <v>0</v>
      </c>
      <c r="F94" s="828"/>
      <c r="G94" s="428">
        <f>IF(G6=0,0,E94*'5 Kalan alkukäsittely satamassa'!G46/1000)</f>
        <v>0</v>
      </c>
      <c r="I94" s="746"/>
      <c r="L94" s="319"/>
      <c r="M94" s="319"/>
      <c r="N94" s="319"/>
      <c r="P94" s="350"/>
      <c r="S94" s="319"/>
      <c r="T94" s="319"/>
      <c r="U94" s="319"/>
      <c r="W94" s="15"/>
    </row>
    <row r="95" spans="2:23" ht="13.5" thickBot="1" x14ac:dyDescent="0.25">
      <c r="B95" s="358"/>
      <c r="E95" s="319"/>
      <c r="F95" s="319"/>
      <c r="G95" s="319"/>
      <c r="I95" s="746"/>
      <c r="L95" s="319"/>
      <c r="M95" s="319"/>
      <c r="N95" s="319"/>
      <c r="P95" s="350"/>
      <c r="S95" s="319"/>
      <c r="T95" s="319"/>
      <c r="U95" s="319"/>
      <c r="W95" s="15"/>
    </row>
    <row r="96" spans="2:23" ht="13.5" thickBot="1" x14ac:dyDescent="0.25">
      <c r="B96" s="358"/>
      <c r="D96" s="61" t="s">
        <v>338</v>
      </c>
      <c r="E96" s="352"/>
      <c r="F96" s="352"/>
      <c r="G96" s="745"/>
      <c r="I96" s="746"/>
      <c r="L96" s="319"/>
      <c r="M96" s="319"/>
      <c r="N96" s="319"/>
      <c r="P96" s="350"/>
      <c r="S96" s="319"/>
      <c r="T96" s="319"/>
      <c r="U96" s="319"/>
      <c r="W96" s="15"/>
    </row>
    <row r="97" spans="2:23" ht="13.5" thickBot="1" x14ac:dyDescent="0.25">
      <c r="B97" s="358"/>
      <c r="D97" s="159" t="s">
        <v>199</v>
      </c>
      <c r="E97" s="845">
        <v>0</v>
      </c>
      <c r="F97" s="91"/>
      <c r="G97" s="713" t="s">
        <v>48</v>
      </c>
      <c r="I97" s="746"/>
      <c r="L97" s="319"/>
      <c r="M97" s="319"/>
      <c r="N97" s="319"/>
      <c r="P97" s="350"/>
      <c r="S97" s="319"/>
      <c r="T97" s="319"/>
      <c r="U97" s="319"/>
      <c r="W97" s="15"/>
    </row>
    <row r="98" spans="2:23" ht="13.5" thickBot="1" x14ac:dyDescent="0.25">
      <c r="B98" s="358"/>
      <c r="D98" s="23" t="s">
        <v>193</v>
      </c>
      <c r="E98" s="841">
        <v>0</v>
      </c>
      <c r="F98" s="12"/>
      <c r="G98" s="1446">
        <v>1</v>
      </c>
      <c r="I98" s="746"/>
      <c r="L98" s="319"/>
      <c r="M98" s="319"/>
      <c r="N98" s="319"/>
      <c r="P98" s="350"/>
      <c r="S98" s="319"/>
      <c r="T98" s="319"/>
      <c r="U98" s="319"/>
      <c r="W98" s="15"/>
    </row>
    <row r="99" spans="2:23" ht="13.5" thickBot="1" x14ac:dyDescent="0.25">
      <c r="B99" s="358"/>
      <c r="D99" s="23" t="s">
        <v>192</v>
      </c>
      <c r="E99" s="845">
        <v>0</v>
      </c>
      <c r="F99" s="12"/>
      <c r="G99" s="357"/>
      <c r="I99" s="746"/>
      <c r="L99" s="319"/>
      <c r="M99" s="319"/>
      <c r="N99" s="319"/>
      <c r="P99" s="350"/>
      <c r="S99" s="319"/>
      <c r="T99" s="319"/>
      <c r="U99" s="319"/>
      <c r="W99" s="15"/>
    </row>
    <row r="100" spans="2:23" ht="13.5" thickBot="1" x14ac:dyDescent="0.25">
      <c r="B100" s="358"/>
      <c r="D100" s="12" t="s">
        <v>379</v>
      </c>
      <c r="E100" s="617">
        <f>IF(G6=0,0,E97*E71/100*E72*E99)</f>
        <v>0</v>
      </c>
      <c r="F100" s="12"/>
      <c r="G100" s="357"/>
      <c r="I100" s="746"/>
      <c r="L100" s="319"/>
      <c r="M100" s="319"/>
      <c r="N100" s="319"/>
      <c r="P100" s="350"/>
      <c r="S100" s="319"/>
      <c r="T100" s="319"/>
      <c r="U100" s="319"/>
      <c r="W100" s="15"/>
    </row>
    <row r="101" spans="2:23" ht="13.5" thickBot="1" x14ac:dyDescent="0.25">
      <c r="B101" s="358"/>
      <c r="D101" s="1199" t="s">
        <v>628</v>
      </c>
      <c r="E101" s="863">
        <f>IF(G6=0,0,E99*E98*G98*'11. Työtunnit'!$C$7)</f>
        <v>0</v>
      </c>
      <c r="F101" s="92"/>
      <c r="G101" s="857"/>
      <c r="I101" s="746"/>
      <c r="L101" s="319"/>
      <c r="M101" s="319"/>
      <c r="N101" s="319"/>
      <c r="P101" s="350"/>
      <c r="S101" s="319"/>
      <c r="T101" s="319"/>
      <c r="U101" s="319"/>
      <c r="W101" s="15"/>
    </row>
    <row r="102" spans="2:23" ht="18" customHeight="1" x14ac:dyDescent="0.2">
      <c r="B102" s="358"/>
      <c r="D102" t="s">
        <v>1</v>
      </c>
      <c r="G102" t="s">
        <v>1</v>
      </c>
      <c r="I102" s="746"/>
      <c r="P102" s="350"/>
      <c r="W102" s="15"/>
    </row>
    <row r="103" spans="2:23" ht="3.75" customHeight="1" x14ac:dyDescent="0.2">
      <c r="B103" s="358"/>
      <c r="C103" s="358"/>
      <c r="D103" s="358"/>
      <c r="E103" s="358"/>
      <c r="F103" s="358"/>
      <c r="G103" s="358"/>
      <c r="H103" s="358"/>
      <c r="I103" s="746"/>
      <c r="J103" s="358"/>
      <c r="K103" s="358"/>
      <c r="L103" s="908"/>
      <c r="M103" s="908"/>
      <c r="N103" s="908"/>
      <c r="O103" s="358"/>
      <c r="P103" s="350"/>
      <c r="Q103" s="358"/>
      <c r="R103" s="358"/>
      <c r="S103" s="908"/>
      <c r="T103" s="908"/>
      <c r="U103" s="908"/>
      <c r="V103" s="358"/>
      <c r="W103" s="15"/>
    </row>
    <row r="104" spans="2:23" ht="17.25" customHeight="1" thickBot="1" x14ac:dyDescent="0.25">
      <c r="B104" s="358"/>
      <c r="I104" s="746"/>
      <c r="L104" s="319"/>
      <c r="M104" s="319"/>
      <c r="N104" s="319"/>
      <c r="P104" s="350"/>
      <c r="S104" s="319"/>
      <c r="T104" s="319"/>
      <c r="U104" s="319"/>
      <c r="W104" s="15"/>
    </row>
    <row r="105" spans="2:23" ht="18.75" thickBot="1" x14ac:dyDescent="0.3">
      <c r="B105" s="358"/>
      <c r="D105" s="1440" t="s">
        <v>441</v>
      </c>
      <c r="E105" s="356"/>
      <c r="F105" s="744"/>
      <c r="G105" s="745"/>
      <c r="I105" s="746"/>
      <c r="K105" s="1440" t="s">
        <v>442</v>
      </c>
      <c r="L105" s="1624" t="s">
        <v>337</v>
      </c>
      <c r="M105" s="1625"/>
      <c r="N105" s="1626"/>
      <c r="P105" s="350"/>
      <c r="R105" s="356" t="str">
        <f>K105</f>
        <v>PU-rysä2</v>
      </c>
      <c r="S105" s="1624" t="s">
        <v>335</v>
      </c>
      <c r="T105" s="1625"/>
      <c r="U105" s="1626"/>
      <c r="W105" s="15"/>
    </row>
    <row r="106" spans="2:23" ht="13.5" thickBot="1" x14ac:dyDescent="0.25">
      <c r="B106" s="358"/>
      <c r="I106" s="746"/>
      <c r="L106" s="319"/>
      <c r="M106" s="319"/>
      <c r="N106" s="319"/>
      <c r="P106" s="350"/>
      <c r="R106" s="43"/>
      <c r="S106" s="319"/>
      <c r="T106" s="319"/>
      <c r="U106" s="319"/>
      <c r="W106" s="15"/>
    </row>
    <row r="107" spans="2:23" ht="13.5" thickBot="1" x14ac:dyDescent="0.25">
      <c r="B107" s="358"/>
      <c r="D107" s="61" t="s">
        <v>58</v>
      </c>
      <c r="E107" s="62"/>
      <c r="F107" s="65"/>
      <c r="G107" s="1441">
        <v>0</v>
      </c>
      <c r="I107" s="746"/>
      <c r="K107" s="61" t="s">
        <v>58</v>
      </c>
      <c r="L107" s="67"/>
      <c r="M107" s="67"/>
      <c r="N107" s="1441">
        <v>0</v>
      </c>
      <c r="P107" s="350"/>
      <c r="R107" s="61" t="s">
        <v>58</v>
      </c>
      <c r="S107" s="67"/>
      <c r="T107" s="67"/>
      <c r="U107" s="1441">
        <v>0</v>
      </c>
      <c r="W107" s="15"/>
    </row>
    <row r="108" spans="2:23" ht="13.5" thickBot="1" x14ac:dyDescent="0.25">
      <c r="B108" s="358"/>
      <c r="G108" s="34"/>
      <c r="I108" s="746"/>
      <c r="L108" s="319"/>
      <c r="M108" s="319"/>
      <c r="N108" s="319"/>
      <c r="P108" s="350"/>
      <c r="S108" s="319"/>
      <c r="T108" s="319"/>
      <c r="U108" s="24"/>
      <c r="W108" s="15"/>
    </row>
    <row r="109" spans="2:23" ht="13.5" thickBot="1" x14ac:dyDescent="0.25">
      <c r="B109" s="358"/>
      <c r="D109" s="94" t="s">
        <v>60</v>
      </c>
      <c r="E109" s="156"/>
      <c r="F109" s="156" t="s">
        <v>1</v>
      </c>
      <c r="G109" s="157"/>
      <c r="I109" s="746"/>
      <c r="K109" s="61" t="s">
        <v>56</v>
      </c>
      <c r="L109" s="352"/>
      <c r="M109" s="352"/>
      <c r="N109" s="901"/>
      <c r="P109" s="350"/>
      <c r="R109" s="94" t="s">
        <v>56</v>
      </c>
      <c r="S109" s="353"/>
      <c r="T109" s="353"/>
      <c r="U109" s="909"/>
      <c r="W109" s="15"/>
    </row>
    <row r="110" spans="2:23" ht="13.5" thickBot="1" x14ac:dyDescent="0.25">
      <c r="B110" s="358"/>
      <c r="D110" s="375" t="s">
        <v>384</v>
      </c>
      <c r="E110" s="376"/>
      <c r="F110" s="377"/>
      <c r="G110" s="378"/>
      <c r="I110" s="746"/>
      <c r="K110" s="5" t="s">
        <v>15</v>
      </c>
      <c r="L110" s="902" t="s">
        <v>1</v>
      </c>
      <c r="M110" s="826"/>
      <c r="N110" s="713"/>
      <c r="P110" s="350"/>
      <c r="R110" s="5" t="s">
        <v>15</v>
      </c>
      <c r="S110" s="902" t="s">
        <v>1</v>
      </c>
      <c r="T110" s="826"/>
      <c r="U110" s="830"/>
      <c r="W110" s="15"/>
    </row>
    <row r="111" spans="2:23" ht="13.5" thickBot="1" x14ac:dyDescent="0.25">
      <c r="B111" s="358"/>
      <c r="D111" s="12" t="s">
        <v>54</v>
      </c>
      <c r="E111" s="1451">
        <v>0</v>
      </c>
      <c r="F111" s="12"/>
      <c r="G111" s="357" t="s">
        <v>43</v>
      </c>
      <c r="I111" s="746"/>
      <c r="K111" s="12" t="s">
        <v>2</v>
      </c>
      <c r="L111" s="1442">
        <v>0</v>
      </c>
      <c r="M111" s="12"/>
      <c r="N111" s="357" t="s">
        <v>43</v>
      </c>
      <c r="P111" s="350"/>
      <c r="R111" s="12" t="s">
        <v>2</v>
      </c>
      <c r="S111" s="1442">
        <v>0</v>
      </c>
      <c r="T111" s="827"/>
      <c r="U111" s="357" t="s">
        <v>43</v>
      </c>
      <c r="W111" s="15"/>
    </row>
    <row r="112" spans="2:23" ht="13.5" thickBot="1" x14ac:dyDescent="0.25">
      <c r="B112" s="358"/>
      <c r="D112" s="64" t="s">
        <v>55</v>
      </c>
      <c r="E112" s="1442">
        <v>0</v>
      </c>
      <c r="F112" s="302"/>
      <c r="G112" s="420">
        <f>IF(G107=0,0,E112-E111+1)</f>
        <v>0</v>
      </c>
      <c r="I112" s="746"/>
      <c r="K112" s="64" t="s">
        <v>3</v>
      </c>
      <c r="L112" s="1442">
        <v>0</v>
      </c>
      <c r="M112" s="302"/>
      <c r="N112" s="420">
        <f>IF(N107=0,0,L112-L111+1)</f>
        <v>0</v>
      </c>
      <c r="P112" s="350"/>
      <c r="R112" s="64" t="s">
        <v>3</v>
      </c>
      <c r="S112" s="1442">
        <v>0</v>
      </c>
      <c r="T112" s="893"/>
      <c r="U112" s="420">
        <f>IF(U107=0,0,S112-S111+1)</f>
        <v>0</v>
      </c>
      <c r="W112" s="15"/>
    </row>
    <row r="113" spans="2:23" ht="13.5" thickBot="1" x14ac:dyDescent="0.25">
      <c r="B113" s="358"/>
      <c r="D113" s="57" t="s">
        <v>406</v>
      </c>
      <c r="E113" s="838"/>
      <c r="F113" s="827"/>
      <c r="G113" s="829"/>
      <c r="I113" s="746"/>
      <c r="K113" s="57" t="s">
        <v>5</v>
      </c>
      <c r="L113" s="827"/>
      <c r="M113" s="827"/>
      <c r="N113" s="357" t="s">
        <v>59</v>
      </c>
      <c r="P113" s="350"/>
      <c r="R113" s="57" t="s">
        <v>5</v>
      </c>
      <c r="S113" s="827"/>
      <c r="T113" s="827"/>
      <c r="U113" s="357" t="s">
        <v>59</v>
      </c>
      <c r="W113" s="15"/>
    </row>
    <row r="114" spans="2:23" ht="13.5" thickBot="1" x14ac:dyDescent="0.25">
      <c r="B114" s="358"/>
      <c r="D114" s="2" t="s">
        <v>9</v>
      </c>
      <c r="E114" s="845">
        <v>0</v>
      </c>
      <c r="F114" s="827"/>
      <c r="G114" s="829"/>
      <c r="I114" s="746"/>
      <c r="K114" s="7" t="s">
        <v>6</v>
      </c>
      <c r="L114" s="1443">
        <v>0</v>
      </c>
      <c r="M114" s="92"/>
      <c r="N114" s="424">
        <f>IF(N107=0,0,ROUND(N112/7*L114,0))</f>
        <v>0</v>
      </c>
      <c r="P114" s="350"/>
      <c r="R114" s="7" t="s">
        <v>6</v>
      </c>
      <c r="S114" s="1443">
        <v>0</v>
      </c>
      <c r="T114" s="828"/>
      <c r="U114" s="424">
        <f>IF(U107=0,0,ROUND(U112/7*S114,0))</f>
        <v>0</v>
      </c>
      <c r="W114" s="15"/>
    </row>
    <row r="115" spans="2:23" ht="13.5" thickBot="1" x14ac:dyDescent="0.25">
      <c r="B115" s="358"/>
      <c r="D115" s="2" t="s">
        <v>8</v>
      </c>
      <c r="E115" s="845">
        <v>0</v>
      </c>
      <c r="F115" s="12"/>
      <c r="G115" s="357" t="s">
        <v>48</v>
      </c>
      <c r="I115" s="746"/>
      <c r="L115" s="319"/>
      <c r="M115" s="319"/>
      <c r="N115" s="319"/>
      <c r="P115" s="350"/>
      <c r="S115" s="319"/>
      <c r="T115" s="319"/>
      <c r="U115" s="319"/>
      <c r="W115" s="15"/>
    </row>
    <row r="116" spans="2:23" ht="13.5" thickBot="1" x14ac:dyDescent="0.25">
      <c r="B116" s="358"/>
      <c r="D116" s="2" t="s">
        <v>11</v>
      </c>
      <c r="E116" s="841">
        <v>0</v>
      </c>
      <c r="F116" s="12"/>
      <c r="G116" s="1445">
        <v>1</v>
      </c>
      <c r="I116" s="746"/>
      <c r="K116" s="61" t="s">
        <v>60</v>
      </c>
      <c r="L116" s="352"/>
      <c r="M116" s="352" t="s">
        <v>1</v>
      </c>
      <c r="N116" s="745"/>
      <c r="P116" s="350"/>
      <c r="R116" s="61" t="s">
        <v>60</v>
      </c>
      <c r="S116" s="352"/>
      <c r="T116" s="352" t="s">
        <v>1</v>
      </c>
      <c r="U116" s="745"/>
      <c r="W116" s="15"/>
    </row>
    <row r="117" spans="2:23" ht="13.5" thickBot="1" x14ac:dyDescent="0.25">
      <c r="B117" s="358"/>
      <c r="D117" s="2" t="s">
        <v>50</v>
      </c>
      <c r="E117" s="845">
        <v>0</v>
      </c>
      <c r="F117" s="12"/>
      <c r="G117" s="357" t="s">
        <v>48</v>
      </c>
      <c r="I117" s="746"/>
      <c r="K117" s="9" t="s">
        <v>21</v>
      </c>
      <c r="L117" s="833"/>
      <c r="M117" s="826"/>
      <c r="N117" s="713" t="s">
        <v>22</v>
      </c>
      <c r="P117" s="350"/>
      <c r="R117" s="9" t="s">
        <v>21</v>
      </c>
      <c r="S117" s="833"/>
      <c r="T117" s="826"/>
      <c r="U117" s="713" t="s">
        <v>22</v>
      </c>
      <c r="W117" s="15"/>
    </row>
    <row r="118" spans="2:23" ht="13.5" thickBot="1" x14ac:dyDescent="0.25">
      <c r="B118" s="358"/>
      <c r="D118" s="2" t="s">
        <v>49</v>
      </c>
      <c r="E118" s="841">
        <v>0</v>
      </c>
      <c r="F118" s="12"/>
      <c r="G118" s="1445">
        <v>1</v>
      </c>
      <c r="I118" s="746"/>
      <c r="K118" s="2" t="s">
        <v>33</v>
      </c>
      <c r="L118" s="841">
        <v>0</v>
      </c>
      <c r="M118" s="827"/>
      <c r="N118" s="1445">
        <v>1</v>
      </c>
      <c r="P118" s="350"/>
      <c r="R118" s="2" t="s">
        <v>33</v>
      </c>
      <c r="S118" s="841">
        <v>0</v>
      </c>
      <c r="T118" s="827"/>
      <c r="U118" s="1445">
        <v>1</v>
      </c>
      <c r="W118" s="15"/>
    </row>
    <row r="119" spans="2:23" ht="13.5" thickBot="1" x14ac:dyDescent="0.25">
      <c r="B119" s="358"/>
      <c r="D119" s="2" t="s">
        <v>10</v>
      </c>
      <c r="E119" s="845">
        <v>0</v>
      </c>
      <c r="F119" s="827"/>
      <c r="G119" s="829"/>
      <c r="I119" s="746"/>
      <c r="K119" s="2"/>
      <c r="L119" s="836" t="s">
        <v>1</v>
      </c>
      <c r="M119" s="827"/>
      <c r="N119" s="66" t="s">
        <v>210</v>
      </c>
      <c r="P119" s="350"/>
      <c r="R119" s="2"/>
      <c r="S119" s="836" t="s">
        <v>1</v>
      </c>
      <c r="T119" s="827"/>
      <c r="U119" s="66" t="s">
        <v>210</v>
      </c>
      <c r="W119" s="15"/>
    </row>
    <row r="120" spans="2:23" ht="13.5" thickBot="1" x14ac:dyDescent="0.25">
      <c r="B120" s="358"/>
      <c r="D120" s="2" t="s">
        <v>53</v>
      </c>
      <c r="E120" s="1444">
        <v>0</v>
      </c>
      <c r="F120" s="12"/>
      <c r="G120" s="372" t="s">
        <v>439</v>
      </c>
      <c r="I120" s="746"/>
      <c r="K120" s="2" t="s">
        <v>52</v>
      </c>
      <c r="L120" s="841">
        <v>0</v>
      </c>
      <c r="M120" s="827"/>
      <c r="N120" s="420">
        <f>IF(N107=0,0,IF(L120=0,0,ROUNDUP(N107/L120,0)))</f>
        <v>0</v>
      </c>
      <c r="P120" s="350"/>
      <c r="R120" s="2" t="s">
        <v>52</v>
      </c>
      <c r="S120" s="841">
        <v>0</v>
      </c>
      <c r="T120" s="827"/>
      <c r="U120" s="420">
        <f>IF(U107=0,0,IF(S120=0,0,ROUNDUP(U107/S120,0)))</f>
        <v>0</v>
      </c>
      <c r="W120" s="15"/>
    </row>
    <row r="121" spans="2:23" ht="13.5" thickBot="1" x14ac:dyDescent="0.25">
      <c r="B121" s="358"/>
      <c r="D121" s="2" t="s">
        <v>550</v>
      </c>
      <c r="E121" s="1207">
        <f>IF(G121=1,'10. Verot'!$C$17/100,IF(G121=2,'10. Verot'!$D$17/100))</f>
        <v>1.3709677419354838</v>
      </c>
      <c r="F121" s="12"/>
      <c r="G121" s="1446">
        <v>1</v>
      </c>
      <c r="I121" s="746"/>
      <c r="K121" s="2"/>
      <c r="L121" s="836"/>
      <c r="M121" s="827"/>
      <c r="N121" s="66" t="s">
        <v>209</v>
      </c>
      <c r="P121" s="350"/>
      <c r="R121" s="2"/>
      <c r="S121" s="836"/>
      <c r="T121" s="827"/>
      <c r="U121" s="66" t="s">
        <v>209</v>
      </c>
      <c r="W121" s="15"/>
    </row>
    <row r="122" spans="2:23" ht="13.5" thickBot="1" x14ac:dyDescent="0.25">
      <c r="B122" s="358"/>
      <c r="D122" s="12" t="s">
        <v>393</v>
      </c>
      <c r="E122" s="422">
        <f>IF(G107=0,0,E115*E114+E117*E119)</f>
        <v>0</v>
      </c>
      <c r="F122" s="827"/>
      <c r="G122" s="357"/>
      <c r="I122" s="746"/>
      <c r="K122" s="20" t="s">
        <v>34</v>
      </c>
      <c r="L122" s="429">
        <f>IF(N107=0,0,(L118*N107*N118+L136*N120*N118))</f>
        <v>0</v>
      </c>
      <c r="M122" s="827"/>
      <c r="N122" s="420">
        <f>IF(N107=0,0,L122*'11. Työtunnit'!$C$7)</f>
        <v>0</v>
      </c>
      <c r="P122" s="350"/>
      <c r="R122" s="20" t="s">
        <v>34</v>
      </c>
      <c r="S122" s="429">
        <f>IF(U107=0,0,(S118*U107*U118+S136*U120*U118))</f>
        <v>0</v>
      </c>
      <c r="T122" s="827"/>
      <c r="U122" s="420">
        <f>IF(U107=0,0,S122*'11. Työtunnit'!$C$7)</f>
        <v>0</v>
      </c>
      <c r="W122" s="15"/>
    </row>
    <row r="123" spans="2:23" ht="13.5" thickBot="1" x14ac:dyDescent="0.25">
      <c r="B123" s="358"/>
      <c r="D123" s="12" t="s">
        <v>383</v>
      </c>
      <c r="E123" s="423">
        <f>IF(G107=0,0,(E122/100)*E120*E121)</f>
        <v>0</v>
      </c>
      <c r="F123" s="827"/>
      <c r="G123" s="829"/>
      <c r="I123" s="746"/>
      <c r="K123" s="22" t="s">
        <v>629</v>
      </c>
      <c r="L123" s="906"/>
      <c r="M123" s="828"/>
      <c r="N123" s="423">
        <f>IF(N107=0,0,(L135*(L140/100)*L141*N120+(IF(L147=0,0,L151/L147))*N120))</f>
        <v>0</v>
      </c>
      <c r="P123" s="350"/>
      <c r="R123" s="22" t="s">
        <v>629</v>
      </c>
      <c r="S123" s="906"/>
      <c r="T123" s="828"/>
      <c r="U123" s="423">
        <f>IF(U107=0,0,(S135*(S140/100)*S141*U120+(IF(S147=0,0,S151/S147))*U120))</f>
        <v>0</v>
      </c>
      <c r="W123" s="15"/>
    </row>
    <row r="124" spans="2:23" ht="13.5" thickBot="1" x14ac:dyDescent="0.25">
      <c r="B124" s="358"/>
      <c r="D124" s="12" t="s">
        <v>387</v>
      </c>
      <c r="E124" s="617">
        <f>IF(G107=0,0,E116*G116*E114+E118*G118*E119)</f>
        <v>0</v>
      </c>
      <c r="F124" s="827"/>
      <c r="G124" s="357"/>
      <c r="I124" s="746"/>
      <c r="K124" s="9" t="s">
        <v>25</v>
      </c>
      <c r="L124" s="833"/>
      <c r="M124" s="826"/>
      <c r="N124" s="713" t="s">
        <v>22</v>
      </c>
      <c r="P124" s="350"/>
      <c r="R124" s="9" t="s">
        <v>25</v>
      </c>
      <c r="S124" s="833"/>
      <c r="T124" s="826"/>
      <c r="U124" s="713" t="s">
        <v>48</v>
      </c>
      <c r="W124" s="15"/>
    </row>
    <row r="125" spans="2:23" ht="13.5" thickBot="1" x14ac:dyDescent="0.25">
      <c r="B125" s="358"/>
      <c r="D125" s="302" t="s">
        <v>388</v>
      </c>
      <c r="E125" s="423">
        <f>IF(G107=0,0,E124*'11. Työtunnit'!$C$7)</f>
        <v>0</v>
      </c>
      <c r="F125" s="893"/>
      <c r="G125" s="894"/>
      <c r="I125" s="746"/>
      <c r="K125" s="12" t="s">
        <v>425</v>
      </c>
      <c r="L125" s="841">
        <v>0</v>
      </c>
      <c r="M125" s="827"/>
      <c r="N125" s="1445">
        <v>1</v>
      </c>
      <c r="P125" s="350"/>
      <c r="R125" s="12" t="s">
        <v>425</v>
      </c>
      <c r="S125" s="841">
        <v>0</v>
      </c>
      <c r="T125" s="827"/>
      <c r="U125" s="1445">
        <v>1</v>
      </c>
      <c r="W125" s="15"/>
    </row>
    <row r="126" spans="2:23" ht="13.5" thickBot="1" x14ac:dyDescent="0.25">
      <c r="B126" s="358"/>
      <c r="D126" s="57" t="s">
        <v>386</v>
      </c>
      <c r="E126" s="895"/>
      <c r="F126" s="895"/>
      <c r="G126" s="896" t="s">
        <v>22</v>
      </c>
      <c r="I126" s="746"/>
      <c r="K126" s="2"/>
      <c r="L126" s="836"/>
      <c r="M126" s="827"/>
      <c r="N126" s="66" t="s">
        <v>211</v>
      </c>
      <c r="P126" s="350"/>
      <c r="R126" s="2"/>
      <c r="S126" s="836"/>
      <c r="T126" s="827"/>
      <c r="U126" s="66" t="s">
        <v>211</v>
      </c>
      <c r="W126" s="15"/>
    </row>
    <row r="127" spans="2:23" ht="13.5" thickBot="1" x14ac:dyDescent="0.25">
      <c r="B127" s="358"/>
      <c r="D127" s="64" t="s">
        <v>404</v>
      </c>
      <c r="E127" s="841">
        <v>0</v>
      </c>
      <c r="F127" s="316"/>
      <c r="G127" s="1445">
        <v>1</v>
      </c>
      <c r="I127" s="746"/>
      <c r="K127" s="2" t="s">
        <v>212</v>
      </c>
      <c r="L127" s="841">
        <v>0</v>
      </c>
      <c r="M127" s="827"/>
      <c r="N127" s="420">
        <f>IF(N107=0,0,ROUNDUP(IF(L127=0,0,N107/L127),0))</f>
        <v>0</v>
      </c>
      <c r="P127" s="350"/>
      <c r="R127" s="2" t="s">
        <v>212</v>
      </c>
      <c r="S127" s="841">
        <v>0</v>
      </c>
      <c r="T127" s="827"/>
      <c r="U127" s="420">
        <f>IF(U107=0,0,ROUNDUP(IF(S127=0,0,U107/S127),0))</f>
        <v>0</v>
      </c>
      <c r="W127" s="15"/>
    </row>
    <row r="128" spans="2:23" ht="13.5" thickBot="1" x14ac:dyDescent="0.25">
      <c r="B128" s="358"/>
      <c r="D128" s="57" t="s">
        <v>407</v>
      </c>
      <c r="E128" s="838"/>
      <c r="F128" s="897"/>
      <c r="G128" s="896"/>
      <c r="I128" s="746"/>
      <c r="K128" s="2"/>
      <c r="L128" s="836"/>
      <c r="M128" s="827"/>
      <c r="N128" s="66" t="s">
        <v>209</v>
      </c>
      <c r="P128" s="350"/>
      <c r="R128" s="2"/>
      <c r="S128" s="836"/>
      <c r="T128" s="827"/>
      <c r="U128" s="66" t="s">
        <v>209</v>
      </c>
      <c r="W128" s="15"/>
    </row>
    <row r="129" spans="2:40" ht="13.5" thickBot="1" x14ac:dyDescent="0.25">
      <c r="B129" s="358"/>
      <c r="D129" s="3" t="s">
        <v>18</v>
      </c>
      <c r="E129" s="845">
        <v>0</v>
      </c>
      <c r="F129" s="895"/>
      <c r="G129" s="896" t="s">
        <v>22</v>
      </c>
      <c r="I129" s="746"/>
      <c r="K129" s="317" t="s">
        <v>426</v>
      </c>
      <c r="L129" s="429">
        <f>IF(N107=0,0,(L125*N107*N125+L136*N127*N125))</f>
        <v>0</v>
      </c>
      <c r="M129" s="827"/>
      <c r="N129" s="420">
        <f>IF(N107=0,0,L129*'11. Työtunnit'!$C$7)</f>
        <v>0</v>
      </c>
      <c r="P129" s="350"/>
      <c r="R129" s="317" t="s">
        <v>426</v>
      </c>
      <c r="S129" s="429">
        <f>IF(U107=0,0,(S125*U107*U125+S136*U127*U125))</f>
        <v>0</v>
      </c>
      <c r="T129" s="827"/>
      <c r="U129" s="420">
        <f>IF(U107=0,0,S129*'11. Työtunnit'!$C$7)</f>
        <v>0</v>
      </c>
      <c r="W129" s="15"/>
      <c r="AN129"/>
    </row>
    <row r="130" spans="2:40" ht="13.5" thickBot="1" x14ac:dyDescent="0.25">
      <c r="B130" s="358"/>
      <c r="D130" s="2" t="s">
        <v>23</v>
      </c>
      <c r="E130" s="841">
        <v>0</v>
      </c>
      <c r="F130" s="827"/>
      <c r="G130" s="1445">
        <v>1</v>
      </c>
      <c r="I130" s="746"/>
      <c r="K130" s="22" t="s">
        <v>629</v>
      </c>
      <c r="L130" s="828"/>
      <c r="M130" s="828"/>
      <c r="N130" s="423">
        <f>IF(N107=0,0,(IF(N120=0,0,N123/N120*N127)))</f>
        <v>0</v>
      </c>
      <c r="P130" s="350"/>
      <c r="R130" s="22" t="s">
        <v>629</v>
      </c>
      <c r="S130" s="828"/>
      <c r="T130" s="828"/>
      <c r="U130" s="423">
        <f>IF(U107=0,0,(IF(U120=0,0,U123/U120*U127)))</f>
        <v>0</v>
      </c>
      <c r="W130" s="15"/>
      <c r="AN130"/>
    </row>
    <row r="131" spans="2:40" ht="13.5" thickBot="1" x14ac:dyDescent="0.25">
      <c r="B131" s="358"/>
      <c r="D131" s="2" t="s">
        <v>51</v>
      </c>
      <c r="E131" s="845">
        <v>0</v>
      </c>
      <c r="F131" s="827"/>
      <c r="G131" s="372" t="s">
        <v>439</v>
      </c>
      <c r="I131" s="746"/>
      <c r="L131" s="319"/>
      <c r="M131" s="319"/>
      <c r="N131" s="319"/>
      <c r="P131" s="350"/>
      <c r="S131" s="319"/>
      <c r="T131" s="319"/>
      <c r="U131" s="319"/>
      <c r="W131" s="15"/>
    </row>
    <row r="132" spans="2:40" ht="13.5" thickBot="1" x14ac:dyDescent="0.25">
      <c r="B132" s="358"/>
      <c r="D132" s="2" t="s">
        <v>549</v>
      </c>
      <c r="E132" s="1208">
        <f>IF(G132=1,'10. Verot'!$C$18/100,IF(G132=2,'10. Verot'!$E$18/100))</f>
        <v>0.72056774193548379</v>
      </c>
      <c r="F132" s="827"/>
      <c r="G132" s="843">
        <v>1</v>
      </c>
      <c r="I132" s="746"/>
      <c r="K132" s="94" t="s">
        <v>57</v>
      </c>
      <c r="L132" s="353"/>
      <c r="M132" s="353"/>
      <c r="N132" s="832"/>
      <c r="P132" s="350"/>
      <c r="R132" s="61" t="s">
        <v>57</v>
      </c>
      <c r="S132" s="352"/>
      <c r="T132" s="352"/>
      <c r="U132" s="161"/>
      <c r="W132" s="15"/>
      <c r="AN132"/>
    </row>
    <row r="133" spans="2:40" ht="13.5" thickBot="1" x14ac:dyDescent="0.25">
      <c r="B133" s="358"/>
      <c r="D133" s="12" t="s">
        <v>390</v>
      </c>
      <c r="E133" s="427">
        <f>IF(G107=0,0,E129*E131*E132)</f>
        <v>0</v>
      </c>
      <c r="F133" s="827"/>
      <c r="G133" s="372"/>
      <c r="I133" s="746"/>
      <c r="K133" s="9" t="s">
        <v>7</v>
      </c>
      <c r="L133" s="833"/>
      <c r="M133" s="826"/>
      <c r="N133" s="830"/>
      <c r="P133" s="350"/>
      <c r="R133" s="21" t="s">
        <v>7</v>
      </c>
      <c r="S133" s="838"/>
      <c r="T133" s="827"/>
      <c r="U133" s="829"/>
      <c r="W133" s="15"/>
    </row>
    <row r="134" spans="2:40" ht="13.5" thickBot="1" x14ac:dyDescent="0.25">
      <c r="B134" s="358"/>
      <c r="D134" s="12" t="s">
        <v>394</v>
      </c>
      <c r="E134" s="423">
        <f>IF(G107=0,0,E129*E130*G130)</f>
        <v>0</v>
      </c>
      <c r="F134" s="827"/>
      <c r="G134" s="373"/>
      <c r="I134" s="746"/>
      <c r="K134" s="2" t="s">
        <v>9</v>
      </c>
      <c r="L134" s="845">
        <v>0</v>
      </c>
      <c r="M134" s="827"/>
      <c r="N134" s="829"/>
      <c r="P134" s="350"/>
      <c r="R134" s="2" t="s">
        <v>9</v>
      </c>
      <c r="S134" s="845">
        <v>0</v>
      </c>
      <c r="T134" s="827"/>
      <c r="U134" s="829"/>
      <c r="W134" s="15"/>
    </row>
    <row r="135" spans="2:40" ht="13.5" thickBot="1" x14ac:dyDescent="0.25">
      <c r="B135" s="358"/>
      <c r="D135" s="92" t="s">
        <v>395</v>
      </c>
      <c r="E135" s="422">
        <f>IF(G107=0,0,E134*'11. Työtunnit'!$C$7)</f>
        <v>0</v>
      </c>
      <c r="F135" s="828"/>
      <c r="G135" s="374"/>
      <c r="I135" s="746"/>
      <c r="K135" s="2" t="s">
        <v>8</v>
      </c>
      <c r="L135" s="1441">
        <v>0</v>
      </c>
      <c r="M135" s="827"/>
      <c r="N135" s="357" t="s">
        <v>22</v>
      </c>
      <c r="P135" s="350"/>
      <c r="R135" s="2" t="s">
        <v>8</v>
      </c>
      <c r="S135" s="845">
        <v>0</v>
      </c>
      <c r="T135" s="827"/>
      <c r="U135" s="357" t="s">
        <v>22</v>
      </c>
      <c r="W135" s="15"/>
    </row>
    <row r="136" spans="2:40" ht="13.5" thickBot="1" x14ac:dyDescent="0.25">
      <c r="B136" s="358"/>
      <c r="D136" s="375" t="s">
        <v>385</v>
      </c>
      <c r="E136" s="898"/>
      <c r="F136" s="744"/>
      <c r="G136" s="378"/>
      <c r="I136" s="746"/>
      <c r="K136" s="2" t="s">
        <v>11</v>
      </c>
      <c r="L136" s="841">
        <v>0</v>
      </c>
      <c r="M136" s="827"/>
      <c r="N136" s="1445">
        <v>1</v>
      </c>
      <c r="P136" s="350"/>
      <c r="R136" s="2" t="s">
        <v>11</v>
      </c>
      <c r="S136" s="841">
        <v>0</v>
      </c>
      <c r="T136" s="827"/>
      <c r="U136" s="1445">
        <v>1</v>
      </c>
      <c r="W136" s="15"/>
    </row>
    <row r="137" spans="2:40" ht="13.5" thickBot="1" x14ac:dyDescent="0.25">
      <c r="B137" s="358"/>
      <c r="D137" s="91" t="s">
        <v>391</v>
      </c>
      <c r="E137" s="1451">
        <v>0</v>
      </c>
      <c r="F137" s="91"/>
      <c r="G137" s="713" t="s">
        <v>43</v>
      </c>
      <c r="I137" s="746"/>
      <c r="K137" s="2" t="s">
        <v>50</v>
      </c>
      <c r="L137" s="845">
        <v>0</v>
      </c>
      <c r="M137" s="827"/>
      <c r="N137" s="357" t="s">
        <v>22</v>
      </c>
      <c r="P137" s="350"/>
      <c r="R137" s="2" t="s">
        <v>50</v>
      </c>
      <c r="S137" s="845">
        <v>0</v>
      </c>
      <c r="T137" s="827"/>
      <c r="U137" s="357" t="s">
        <v>22</v>
      </c>
      <c r="W137" s="15"/>
    </row>
    <row r="138" spans="2:40" ht="13.5" thickBot="1" x14ac:dyDescent="0.25">
      <c r="B138" s="358"/>
      <c r="D138" s="302" t="s">
        <v>392</v>
      </c>
      <c r="E138" s="1442">
        <v>0</v>
      </c>
      <c r="F138" s="302"/>
      <c r="G138" s="423">
        <f>IF(G107=0,0,E138-E137+1)</f>
        <v>0</v>
      </c>
      <c r="I138" s="746"/>
      <c r="K138" s="3" t="s">
        <v>49</v>
      </c>
      <c r="L138" s="1444">
        <v>0</v>
      </c>
      <c r="M138" s="827"/>
      <c r="N138" s="1445">
        <v>1</v>
      </c>
      <c r="P138" s="350"/>
      <c r="R138" s="3" t="s">
        <v>49</v>
      </c>
      <c r="S138" s="1444">
        <v>0</v>
      </c>
      <c r="T138" s="827"/>
      <c r="U138" s="1445">
        <v>1</v>
      </c>
      <c r="W138" s="15"/>
    </row>
    <row r="139" spans="2:40" ht="13.5" thickBot="1" x14ac:dyDescent="0.25">
      <c r="B139" s="358"/>
      <c r="D139" s="57" t="s">
        <v>408</v>
      </c>
      <c r="E139" s="827"/>
      <c r="F139" s="827"/>
      <c r="G139" s="357" t="s">
        <v>48</v>
      </c>
      <c r="I139" s="746"/>
      <c r="K139" s="2" t="s">
        <v>10</v>
      </c>
      <c r="L139" s="845">
        <v>0</v>
      </c>
      <c r="M139" s="827"/>
      <c r="N139" s="829"/>
      <c r="P139" s="350"/>
      <c r="R139" s="2" t="s">
        <v>10</v>
      </c>
      <c r="S139" s="845">
        <v>0</v>
      </c>
      <c r="T139" s="827"/>
      <c r="U139" s="829"/>
      <c r="W139" s="15"/>
    </row>
    <row r="140" spans="2:40" ht="13.5" thickBot="1" x14ac:dyDescent="0.25">
      <c r="B140" s="358"/>
      <c r="D140" s="2" t="s">
        <v>61</v>
      </c>
      <c r="E140" s="1454">
        <v>0</v>
      </c>
      <c r="F140" s="827"/>
      <c r="G140" s="1445">
        <v>1</v>
      </c>
      <c r="I140" s="746"/>
      <c r="K140" s="2" t="s">
        <v>53</v>
      </c>
      <c r="L140" s="1444">
        <v>0</v>
      </c>
      <c r="M140" s="827"/>
      <c r="N140" s="372" t="s">
        <v>439</v>
      </c>
      <c r="P140" s="350"/>
      <c r="R140" s="2" t="s">
        <v>53</v>
      </c>
      <c r="S140" s="1444">
        <v>0</v>
      </c>
      <c r="T140" s="827"/>
      <c r="U140" s="372" t="s">
        <v>439</v>
      </c>
      <c r="W140" s="15"/>
    </row>
    <row r="141" spans="2:40" ht="13.5" thickBot="1" x14ac:dyDescent="0.25">
      <c r="B141" s="358"/>
      <c r="D141" s="2" t="s">
        <v>62</v>
      </c>
      <c r="E141" s="1441">
        <v>0</v>
      </c>
      <c r="F141" s="827"/>
      <c r="G141" s="1445">
        <v>1</v>
      </c>
      <c r="I141" s="746"/>
      <c r="K141" s="2" t="s">
        <v>550</v>
      </c>
      <c r="L141" s="1207">
        <f>IF(N141=1,'10. Verot'!$C$17/100,IF(N141=2,'10. Verot'!$D$17/100))</f>
        <v>1.3709677419354838</v>
      </c>
      <c r="M141" s="827"/>
      <c r="N141" s="1446">
        <v>1</v>
      </c>
      <c r="P141" s="350"/>
      <c r="R141" s="2" t="s">
        <v>550</v>
      </c>
      <c r="S141" s="1207">
        <f>IF(U141=1,'10. Verot'!$C$17/100,IF(U141=2,'10. Verot'!$D$17/100))</f>
        <v>1.3709677419354838</v>
      </c>
      <c r="T141" s="827"/>
      <c r="U141" s="1446">
        <v>1</v>
      </c>
      <c r="W141" s="15"/>
    </row>
    <row r="142" spans="2:40" ht="13.5" thickBot="1" x14ac:dyDescent="0.25">
      <c r="B142" s="358"/>
      <c r="D142" s="2" t="s">
        <v>50</v>
      </c>
      <c r="E142" s="845">
        <v>0</v>
      </c>
      <c r="F142" s="12"/>
      <c r="G142" s="896"/>
      <c r="I142" s="746"/>
      <c r="K142" s="12" t="s">
        <v>389</v>
      </c>
      <c r="L142" s="422">
        <f>IF(N107=0,0,L135*L134+L137*L139)</f>
        <v>0</v>
      </c>
      <c r="M142" s="827"/>
      <c r="N142" s="357"/>
      <c r="P142" s="350"/>
      <c r="R142" s="3" t="s">
        <v>12</v>
      </c>
      <c r="S142" s="422">
        <f>IF(U107=0,0,S135*S134+S137*S139)</f>
        <v>0</v>
      </c>
      <c r="T142" s="827"/>
      <c r="U142" s="357"/>
      <c r="W142" s="15"/>
    </row>
    <row r="143" spans="2:40" ht="13.5" thickBot="1" x14ac:dyDescent="0.25">
      <c r="B143" s="358"/>
      <c r="D143" s="2" t="s">
        <v>49</v>
      </c>
      <c r="E143" s="841">
        <v>0</v>
      </c>
      <c r="F143" s="12"/>
      <c r="G143" s="899"/>
      <c r="I143" s="746"/>
      <c r="K143" s="12" t="s">
        <v>27</v>
      </c>
      <c r="L143" s="423">
        <f>IF(N107=0,0,(L142/100)*L140*L141)</f>
        <v>0</v>
      </c>
      <c r="M143" s="827"/>
      <c r="N143" s="829"/>
      <c r="P143" s="350"/>
      <c r="R143" s="3" t="s">
        <v>27</v>
      </c>
      <c r="S143" s="423">
        <f>IF(U107=0,0,(S142/100)*S140*S141)</f>
        <v>0</v>
      </c>
      <c r="T143" s="827"/>
      <c r="U143" s="829"/>
      <c r="W143" s="15"/>
    </row>
    <row r="144" spans="2:40" ht="13.5" thickBot="1" x14ac:dyDescent="0.25">
      <c r="B144" s="358"/>
      <c r="D144" s="12" t="s">
        <v>399</v>
      </c>
      <c r="E144" s="422">
        <f>IF(G107=0,0,E140*E115+E141*E142)</f>
        <v>0</v>
      </c>
      <c r="F144" s="827"/>
      <c r="G144" s="357"/>
      <c r="I144" s="746"/>
      <c r="K144" s="3" t="s">
        <v>195</v>
      </c>
      <c r="L144" s="424">
        <f>IF(N107=0,0, L136*N136*L134+L138*N138*L139)</f>
        <v>0</v>
      </c>
      <c r="M144" s="827"/>
      <c r="N144" s="357"/>
      <c r="P144" s="350"/>
      <c r="R144" s="3" t="s">
        <v>195</v>
      </c>
      <c r="S144" s="424">
        <f>IF(U107=0,0,S136*U136*S134+S138*U138*S139)</f>
        <v>0</v>
      </c>
      <c r="T144" s="827"/>
      <c r="U144" s="357"/>
      <c r="W144" s="15"/>
    </row>
    <row r="145" spans="2:23" ht="13.5" thickBot="1" x14ac:dyDescent="0.25">
      <c r="B145" s="358"/>
      <c r="D145" s="12" t="s">
        <v>396</v>
      </c>
      <c r="E145" s="423">
        <f>IF(G107=0,0,E144*E120/100*E121)</f>
        <v>0</v>
      </c>
      <c r="F145" s="827"/>
      <c r="G145" s="829"/>
      <c r="I145" s="746"/>
      <c r="K145" s="64" t="s">
        <v>196</v>
      </c>
      <c r="L145" s="423">
        <f>IF(N107=0,0,L144*'11. Työtunnit'!$C$7)</f>
        <v>0</v>
      </c>
      <c r="M145" s="893"/>
      <c r="N145" s="907"/>
      <c r="P145" s="350"/>
      <c r="R145" s="64" t="s">
        <v>196</v>
      </c>
      <c r="S145" s="423">
        <f>IF(U107=0,0,S144*'11. Työtunnit'!$C$7)</f>
        <v>0</v>
      </c>
      <c r="T145" s="893"/>
      <c r="U145" s="907"/>
      <c r="W145" s="15"/>
    </row>
    <row r="146" spans="2:23" ht="13.5" thickBot="1" x14ac:dyDescent="0.25">
      <c r="B146" s="358"/>
      <c r="D146" s="12" t="s">
        <v>397</v>
      </c>
      <c r="E146" s="617">
        <f>IF(G107=0,0,E140*G140*E116+E141*G141*E143)</f>
        <v>0</v>
      </c>
      <c r="F146" s="827"/>
      <c r="G146" s="357"/>
      <c r="I146" s="746"/>
      <c r="K146" s="57" t="s">
        <v>14</v>
      </c>
      <c r="L146" s="835"/>
      <c r="M146" s="827"/>
      <c r="N146" s="829"/>
      <c r="P146" s="350"/>
      <c r="R146" s="5" t="s">
        <v>14</v>
      </c>
      <c r="S146" s="835"/>
      <c r="T146" s="827"/>
      <c r="U146" s="829"/>
      <c r="W146" s="15"/>
    </row>
    <row r="147" spans="2:23" ht="13.5" thickBot="1" x14ac:dyDescent="0.25">
      <c r="B147" s="358"/>
      <c r="D147" s="302" t="s">
        <v>398</v>
      </c>
      <c r="E147" s="423">
        <f>IF(G107=0,0,E146*'11. Työtunnit'!$C$7)</f>
        <v>0</v>
      </c>
      <c r="F147" s="893"/>
      <c r="G147" s="894"/>
      <c r="I147" s="746"/>
      <c r="K147" s="3" t="s">
        <v>18</v>
      </c>
      <c r="L147" s="845">
        <v>0</v>
      </c>
      <c r="M147" s="827"/>
      <c r="N147" s="357" t="s">
        <v>22</v>
      </c>
      <c r="P147" s="350"/>
      <c r="R147" s="3" t="s">
        <v>18</v>
      </c>
      <c r="S147" s="845">
        <v>0</v>
      </c>
      <c r="T147" s="827"/>
      <c r="U147" s="357" t="s">
        <v>22</v>
      </c>
      <c r="W147" s="15"/>
    </row>
    <row r="148" spans="2:23" ht="13.5" thickBot="1" x14ac:dyDescent="0.25">
      <c r="B148" s="358"/>
      <c r="D148" s="57" t="s">
        <v>14</v>
      </c>
      <c r="E148" s="895"/>
      <c r="F148" s="895"/>
      <c r="G148" s="900"/>
      <c r="I148" s="746"/>
      <c r="K148" s="2" t="s">
        <v>29</v>
      </c>
      <c r="L148" s="905">
        <v>0</v>
      </c>
      <c r="M148" s="827"/>
      <c r="N148" s="1445">
        <v>1</v>
      </c>
      <c r="P148" s="350"/>
      <c r="R148" s="2" t="s">
        <v>29</v>
      </c>
      <c r="S148" s="905">
        <v>0</v>
      </c>
      <c r="T148" s="827"/>
      <c r="U148" s="1445">
        <v>1</v>
      </c>
      <c r="W148" s="15"/>
    </row>
    <row r="149" spans="2:23" ht="13.5" thickBot="1" x14ac:dyDescent="0.25">
      <c r="B149" s="358"/>
      <c r="D149" s="12" t="s">
        <v>18</v>
      </c>
      <c r="E149" s="1454">
        <v>0</v>
      </c>
      <c r="F149" s="827"/>
      <c r="G149" s="357" t="s">
        <v>48</v>
      </c>
      <c r="I149" s="746"/>
      <c r="K149" s="12" t="s">
        <v>205</v>
      </c>
      <c r="L149" s="841">
        <v>0</v>
      </c>
      <c r="M149" s="827"/>
      <c r="N149" s="372" t="s">
        <v>439</v>
      </c>
      <c r="P149" s="350"/>
      <c r="R149" s="12" t="s">
        <v>205</v>
      </c>
      <c r="S149" s="841">
        <v>0</v>
      </c>
      <c r="T149" s="827"/>
      <c r="U149" s="372" t="s">
        <v>439</v>
      </c>
      <c r="W149" s="15"/>
    </row>
    <row r="150" spans="2:23" ht="13.5" thickBot="1" x14ac:dyDescent="0.25">
      <c r="B150" s="358"/>
      <c r="D150" s="2" t="s">
        <v>23</v>
      </c>
      <c r="E150" s="841">
        <v>0</v>
      </c>
      <c r="F150" s="827"/>
      <c r="G150" s="1445">
        <v>1</v>
      </c>
      <c r="I150" s="746"/>
      <c r="K150" s="2" t="s">
        <v>549</v>
      </c>
      <c r="L150" s="1208">
        <f>IF(N150=1,'10. Verot'!$C$18/100,IF(N150=2,'10. Verot'!$E$18/100))</f>
        <v>0.72056774193548379</v>
      </c>
      <c r="M150" s="827"/>
      <c r="N150" s="843">
        <v>1</v>
      </c>
      <c r="P150" s="350"/>
      <c r="R150" s="2" t="s">
        <v>549</v>
      </c>
      <c r="S150" s="1208">
        <f>IF(U150=1,'10. Verot'!$C$18/100,IF(U150=2,'10. Verot'!$E$18/100))</f>
        <v>0.72056774193548379</v>
      </c>
      <c r="T150" s="827"/>
      <c r="U150" s="843">
        <v>1</v>
      </c>
      <c r="W150" s="15"/>
    </row>
    <row r="151" spans="2:23" ht="13.5" thickBot="1" x14ac:dyDescent="0.25">
      <c r="B151" s="358"/>
      <c r="D151" s="20" t="s">
        <v>400</v>
      </c>
      <c r="E151" s="423">
        <f>IF(G107=0,0,E149*E150*G150)</f>
        <v>0</v>
      </c>
      <c r="F151" s="827"/>
      <c r="G151" s="372"/>
      <c r="I151" s="746"/>
      <c r="K151" s="3" t="s">
        <v>31</v>
      </c>
      <c r="L151" s="427">
        <f>IF(N107=0,0,L147*L149*L150)</f>
        <v>0</v>
      </c>
      <c r="M151" s="827"/>
      <c r="N151" s="829"/>
      <c r="P151" s="350"/>
      <c r="R151" s="3" t="s">
        <v>31</v>
      </c>
      <c r="S151" s="427">
        <f>IF(U107=0,0,S147*S149*S150)</f>
        <v>0</v>
      </c>
      <c r="T151" s="827"/>
      <c r="U151" s="829"/>
      <c r="W151" s="15"/>
    </row>
    <row r="152" spans="2:23" ht="13.5" thickBot="1" x14ac:dyDescent="0.25">
      <c r="B152" s="358"/>
      <c r="D152" s="3" t="s">
        <v>401</v>
      </c>
      <c r="E152" s="422">
        <f>IF(G107=0,0,E151*'11. Työtunnit'!$C$7)</f>
        <v>0</v>
      </c>
      <c r="F152" s="827"/>
      <c r="G152" s="373"/>
      <c r="I152" s="746"/>
      <c r="K152" s="3" t="s">
        <v>32</v>
      </c>
      <c r="L152" s="423">
        <f>IF(N107=0,0,L148*L147*N148)</f>
        <v>0</v>
      </c>
      <c r="M152" s="827"/>
      <c r="N152" s="829"/>
      <c r="P152" s="350"/>
      <c r="R152" s="3" t="s">
        <v>32</v>
      </c>
      <c r="S152" s="423">
        <f>IF(U107=0,0,S148*S147*U148)</f>
        <v>0</v>
      </c>
      <c r="T152" s="827"/>
      <c r="U152" s="829"/>
      <c r="W152" s="15"/>
    </row>
    <row r="153" spans="2:23" ht="13.5" thickBot="1" x14ac:dyDescent="0.25">
      <c r="B153" s="358"/>
      <c r="D153" s="64" t="s">
        <v>402</v>
      </c>
      <c r="E153" s="423">
        <f>IF(G107=0,0,E149*E131*E132)</f>
        <v>0</v>
      </c>
      <c r="F153" s="893"/>
      <c r="G153" s="379"/>
      <c r="I153" s="746"/>
      <c r="K153" s="7" t="s">
        <v>197</v>
      </c>
      <c r="L153" s="422">
        <f>IF(N107=0,0,L152*'11. Työtunnit'!$C$7)</f>
        <v>0</v>
      </c>
      <c r="M153" s="828"/>
      <c r="N153" s="702"/>
      <c r="P153" s="350"/>
      <c r="R153" s="7" t="s">
        <v>197</v>
      </c>
      <c r="S153" s="422">
        <f>IF(U107=0,0,S152*'11. Työtunnit'!$C$7)</f>
        <v>0</v>
      </c>
      <c r="T153" s="828"/>
      <c r="U153" s="702"/>
      <c r="W153" s="15"/>
    </row>
    <row r="154" spans="2:23" ht="13.5" thickBot="1" x14ac:dyDescent="0.25">
      <c r="B154" s="358"/>
      <c r="D154" s="57" t="s">
        <v>386</v>
      </c>
      <c r="E154" s="895"/>
      <c r="F154" s="895"/>
      <c r="G154" s="896" t="s">
        <v>22</v>
      </c>
      <c r="I154" s="746"/>
      <c r="K154" s="57" t="s">
        <v>17</v>
      </c>
      <c r="L154" s="838"/>
      <c r="M154" s="838"/>
      <c r="N154" s="712"/>
      <c r="P154" s="350"/>
      <c r="R154" s="57" t="s">
        <v>17</v>
      </c>
      <c r="S154" s="838"/>
      <c r="T154" s="838"/>
      <c r="U154" s="712"/>
      <c r="W154" s="15"/>
    </row>
    <row r="155" spans="2:23" ht="13.5" thickBot="1" x14ac:dyDescent="0.25">
      <c r="B155" s="358"/>
      <c r="D155" s="7" t="s">
        <v>403</v>
      </c>
      <c r="E155" s="841">
        <v>0</v>
      </c>
      <c r="F155" s="104"/>
      <c r="G155" s="1445">
        <v>1</v>
      </c>
      <c r="I155" s="746"/>
      <c r="K155" s="3" t="s">
        <v>207</v>
      </c>
      <c r="L155" s="845">
        <v>0</v>
      </c>
      <c r="M155" s="267"/>
      <c r="N155" s="357" t="s">
        <v>48</v>
      </c>
      <c r="P155" s="350"/>
      <c r="R155" s="3" t="s">
        <v>207</v>
      </c>
      <c r="S155" s="845">
        <v>0</v>
      </c>
      <c r="T155" s="267"/>
      <c r="U155" s="357" t="s">
        <v>48</v>
      </c>
      <c r="W155" s="15"/>
    </row>
    <row r="156" spans="2:23" ht="13.5" thickBot="1" x14ac:dyDescent="0.25">
      <c r="B156" s="358"/>
      <c r="E156" s="319"/>
      <c r="F156" s="319"/>
      <c r="G156" s="319"/>
      <c r="I156" s="746"/>
      <c r="K156" s="2" t="s">
        <v>13</v>
      </c>
      <c r="L156" s="841">
        <v>0</v>
      </c>
      <c r="M156" s="846"/>
      <c r="N156" s="1445">
        <v>1</v>
      </c>
      <c r="P156" s="350"/>
      <c r="R156" s="2" t="s">
        <v>13</v>
      </c>
      <c r="S156" s="841">
        <v>0</v>
      </c>
      <c r="T156" s="846"/>
      <c r="U156" s="1445">
        <v>1</v>
      </c>
      <c r="W156" s="15"/>
    </row>
    <row r="157" spans="2:23" ht="13.5" thickBot="1" x14ac:dyDescent="0.25">
      <c r="B157" s="358"/>
      <c r="D157" s="61" t="s">
        <v>56</v>
      </c>
      <c r="E157" s="352"/>
      <c r="F157" s="352"/>
      <c r="G157" s="901"/>
      <c r="I157" s="746"/>
      <c r="K157" s="3" t="s">
        <v>19</v>
      </c>
      <c r="L157" s="845">
        <v>0</v>
      </c>
      <c r="M157" s="846"/>
      <c r="N157" s="847"/>
      <c r="P157" s="350"/>
      <c r="R157" s="3" t="s">
        <v>19</v>
      </c>
      <c r="S157" s="845">
        <v>0</v>
      </c>
      <c r="T157" s="846"/>
      <c r="U157" s="847"/>
      <c r="W157" s="15"/>
    </row>
    <row r="158" spans="2:23" ht="13.5" thickBot="1" x14ac:dyDescent="0.25">
      <c r="B158" s="358"/>
      <c r="D158" s="5" t="s">
        <v>15</v>
      </c>
      <c r="E158" s="902" t="s">
        <v>1</v>
      </c>
      <c r="F158" s="826"/>
      <c r="G158" s="713"/>
      <c r="I158" s="746"/>
      <c r="K158" s="2" t="s">
        <v>551</v>
      </c>
      <c r="L158" s="1207">
        <f>'10. Verot'!$C$17/100</f>
        <v>1.3709677419354838</v>
      </c>
      <c r="M158" s="848"/>
      <c r="N158" s="849"/>
      <c r="P158" s="350"/>
      <c r="R158" s="2" t="s">
        <v>551</v>
      </c>
      <c r="S158" s="1207">
        <f>'10. Verot'!$C$17/100</f>
        <v>1.3709677419354838</v>
      </c>
      <c r="T158" s="848"/>
      <c r="U158" s="849"/>
      <c r="W158" s="15"/>
    </row>
    <row r="159" spans="2:23" ht="13.5" thickBot="1" x14ac:dyDescent="0.25">
      <c r="B159" s="358"/>
      <c r="D159" s="12" t="s">
        <v>2</v>
      </c>
      <c r="E159" s="1442">
        <v>0</v>
      </c>
      <c r="F159" s="12"/>
      <c r="G159" s="357" t="s">
        <v>43</v>
      </c>
      <c r="I159" s="746"/>
      <c r="K159" s="3" t="s">
        <v>203</v>
      </c>
      <c r="L159" s="423">
        <f>IF(N107=0,0,L155*L157*L158)</f>
        <v>0</v>
      </c>
      <c r="M159" s="838"/>
      <c r="N159" s="712"/>
      <c r="P159" s="350"/>
      <c r="R159" s="3" t="s">
        <v>203</v>
      </c>
      <c r="S159" s="423">
        <f>IF(U107=0,0,S155*S157*S158)</f>
        <v>0</v>
      </c>
      <c r="T159" s="838"/>
      <c r="U159" s="712"/>
      <c r="W159" s="15"/>
    </row>
    <row r="160" spans="2:23" ht="13.5" thickBot="1" x14ac:dyDescent="0.25">
      <c r="B160" s="358"/>
      <c r="D160" s="64" t="s">
        <v>3</v>
      </c>
      <c r="E160" s="1442">
        <v>0</v>
      </c>
      <c r="F160" s="302"/>
      <c r="G160" s="420">
        <f>IF(G107=0,0,E160-E159)</f>
        <v>0</v>
      </c>
      <c r="I160" s="746"/>
      <c r="K160" s="3" t="s">
        <v>206</v>
      </c>
      <c r="L160" s="423">
        <f>IF(N107=0,0,L156*L155*N156)</f>
        <v>0</v>
      </c>
      <c r="M160" s="838"/>
      <c r="N160" s="712"/>
      <c r="P160" s="350"/>
      <c r="R160" s="3" t="s">
        <v>206</v>
      </c>
      <c r="S160" s="423">
        <f>IF(U107=0,0,S156*S155*U156)</f>
        <v>0</v>
      </c>
      <c r="T160" s="838"/>
      <c r="U160" s="712"/>
      <c r="W160" s="15"/>
    </row>
    <row r="161" spans="2:23" ht="13.5" thickBot="1" x14ac:dyDescent="0.25">
      <c r="B161" s="358"/>
      <c r="D161" s="57" t="s">
        <v>5</v>
      </c>
      <c r="E161" s="827"/>
      <c r="F161" s="827"/>
      <c r="G161" s="357" t="s">
        <v>59</v>
      </c>
      <c r="I161" s="746"/>
      <c r="K161" s="25" t="s">
        <v>530</v>
      </c>
      <c r="L161" s="423">
        <f>IF(N107=0,0,L160*'11. Työtunnit'!$C$7)</f>
        <v>0</v>
      </c>
      <c r="M161" s="839"/>
      <c r="N161" s="840"/>
      <c r="P161" s="350"/>
      <c r="R161" s="25" t="s">
        <v>530</v>
      </c>
      <c r="S161" s="423">
        <f>IF(U107=0,0,S160*'11. Työtunnit'!$C$7)</f>
        <v>0</v>
      </c>
      <c r="T161" s="839"/>
      <c r="U161" s="840"/>
      <c r="W161" s="15"/>
    </row>
    <row r="162" spans="2:23" ht="13.5" thickBot="1" x14ac:dyDescent="0.25">
      <c r="B162" s="358"/>
      <c r="D162" s="7" t="s">
        <v>6</v>
      </c>
      <c r="E162" s="1443">
        <v>0</v>
      </c>
      <c r="F162" s="92"/>
      <c r="G162" s="904">
        <f>IF(G107=0,0,ROUND(G160/7*E162,0))</f>
        <v>0</v>
      </c>
      <c r="I162" s="746"/>
      <c r="L162" s="319"/>
      <c r="M162" s="319"/>
      <c r="N162" s="319"/>
      <c r="P162" s="350"/>
      <c r="S162" s="319"/>
      <c r="T162" s="319"/>
      <c r="U162" s="319"/>
      <c r="W162" s="15"/>
    </row>
    <row r="163" spans="2:23" ht="13.5" thickBot="1" x14ac:dyDescent="0.25">
      <c r="B163" s="358"/>
      <c r="E163" s="319"/>
      <c r="F163" s="319"/>
      <c r="G163" s="327"/>
      <c r="I163" s="746"/>
      <c r="K163" s="163" t="s">
        <v>175</v>
      </c>
      <c r="L163" s="850"/>
      <c r="M163" s="353"/>
      <c r="N163" s="832"/>
      <c r="P163" s="350"/>
      <c r="R163" s="163" t="s">
        <v>175</v>
      </c>
      <c r="S163" s="850"/>
      <c r="T163" s="353"/>
      <c r="U163" s="832"/>
      <c r="W163" s="15"/>
    </row>
    <row r="164" spans="2:23" ht="13.5" thickBot="1" x14ac:dyDescent="0.25">
      <c r="B164" s="358"/>
      <c r="D164" s="61" t="s">
        <v>57</v>
      </c>
      <c r="E164" s="352"/>
      <c r="F164" s="352"/>
      <c r="G164" s="901"/>
      <c r="I164" s="746"/>
      <c r="K164" s="159" t="s">
        <v>35</v>
      </c>
      <c r="L164" s="1447">
        <v>0</v>
      </c>
      <c r="M164" s="91"/>
      <c r="N164" s="830"/>
      <c r="P164" s="350"/>
      <c r="R164" s="159" t="s">
        <v>35</v>
      </c>
      <c r="S164" s="1447">
        <v>0</v>
      </c>
      <c r="T164" s="91"/>
      <c r="U164" s="830"/>
      <c r="W164" s="15"/>
    </row>
    <row r="165" spans="2:23" ht="13.5" thickBot="1" x14ac:dyDescent="0.25">
      <c r="B165" s="358"/>
      <c r="D165" s="9" t="s">
        <v>7</v>
      </c>
      <c r="E165" s="833"/>
      <c r="F165" s="826"/>
      <c r="G165" s="105"/>
      <c r="I165" s="746"/>
      <c r="K165" s="20" t="s">
        <v>311</v>
      </c>
      <c r="L165" s="430">
        <f>IF(N107=0,0,'3 Saalis'!D307/100*'2.2 Rysäpyynti'!L164)</f>
        <v>0</v>
      </c>
      <c r="M165" s="12"/>
      <c r="N165" s="829"/>
      <c r="P165" s="350"/>
      <c r="R165" s="20" t="s">
        <v>311</v>
      </c>
      <c r="S165" s="430">
        <f>IF(U107=0,0,'3 Saalis'!D329/100*S164)</f>
        <v>0</v>
      </c>
      <c r="T165" s="12"/>
      <c r="U165" s="829"/>
      <c r="W165" s="15"/>
    </row>
    <row r="166" spans="2:23" ht="13.5" thickBot="1" x14ac:dyDescent="0.25">
      <c r="B166" s="358"/>
      <c r="D166" s="2" t="s">
        <v>9</v>
      </c>
      <c r="E166" s="845">
        <v>0</v>
      </c>
      <c r="F166" s="12"/>
      <c r="G166" s="357"/>
      <c r="I166" s="746"/>
      <c r="K166" s="20" t="s">
        <v>198</v>
      </c>
      <c r="L166" s="431">
        <f>IF(N107=0,0,L165*'11. Työtunnit'!$C$7)</f>
        <v>0</v>
      </c>
      <c r="M166" s="12"/>
      <c r="N166" s="1358" t="s">
        <v>626</v>
      </c>
      <c r="P166" s="350"/>
      <c r="R166" s="20" t="s">
        <v>198</v>
      </c>
      <c r="S166" s="431">
        <f>IF(U107=0,0,S165*'11. Työtunnit'!$C$7)</f>
        <v>0</v>
      </c>
      <c r="T166" s="12"/>
      <c r="U166" s="1358" t="s">
        <v>626</v>
      </c>
      <c r="W166" s="15"/>
    </row>
    <row r="167" spans="2:23" ht="13.5" thickBot="1" x14ac:dyDescent="0.25">
      <c r="B167" s="358"/>
      <c r="D167" s="2" t="s">
        <v>8</v>
      </c>
      <c r="E167" s="845">
        <v>0</v>
      </c>
      <c r="F167" s="12"/>
      <c r="G167" s="357" t="s">
        <v>48</v>
      </c>
      <c r="I167" s="746"/>
      <c r="K167" s="25" t="s">
        <v>312</v>
      </c>
      <c r="L167" s="423">
        <f>IF(N107=0,0,(('3 Saalis'!D295-(('4 Myynti'!D31+'4 Myynti'!D40)*(IF('3 Saalis'!D9=0,0,'3 Saalis'!D295/'3 Saalis'!D9))))*'5 Kalan alkukäsittely satamassa'!$D$48)+(('3 Saalis'!D303-(('4 Myynti'!D151+'4 Myynti'!D155+'4 Myynti'!D156)*(IF('3 Saalis'!D17=0,0,'3 Saalis'!D303/'3 Saalis'!D17))))*'5 Kalan alkukäsittely satamassa'!$D$48)+(('3 Saalis'!D304-(('4 Myynti'!D165+'4 Myynti'!D169+'4 Myynti'!D170)*(IF('3 Saalis'!D18=0,0,'3 Saalis'!D304/'3 Saalis'!D18))))*'5 Kalan alkukäsittely satamassa'!$D$48)+(('3 Saalis'!D306-(('4 Myynti'!D189+'4 Myynti'!D193+'4 Myynti'!D194)*(IF('3 Saalis'!D20=0,0,'3 Saalis'!D306/'3 Saalis'!D20))))*'5 Kalan alkukäsittely satamassa'!$D$48)+('3 Saalis'!D307-'3 Saalis'!D295-'3 Saalis'!D303-'3 Saalis'!D304-'3 Saalis'!D305-'3 Saalis'!D306)*'5 Kalan alkukäsittely satamassa'!$D$48)</f>
        <v>0</v>
      </c>
      <c r="M167" s="92"/>
      <c r="N167" s="420">
        <f>IF(N107=0,0,L167*'5 Kalan alkukäsittely satamassa'!$G$46/1000)</f>
        <v>0</v>
      </c>
      <c r="P167" s="350"/>
      <c r="R167" s="25" t="s">
        <v>312</v>
      </c>
      <c r="S167" s="423">
        <f>IF(U107=0,0,(('3 Saalis'!D317-(('4 Myynti'!D31+'4 Myynti'!D40)*(IF('3 Saalis'!D9=0,0,'3 Saalis'!D317/'3 Saalis'!D9))))*'5 Kalan alkukäsittely satamassa'!$D$48)+(('3 Saalis'!D325-(('4 Myynti'!D151+'4 Myynti'!D155+'4 Myynti'!D156)*(IF('3 Saalis'!D17=0,0,'3 Saalis'!D325/'3 Saalis'!D17))))*'5 Kalan alkukäsittely satamassa'!$D$48)+(('3 Saalis'!D326-(('4 Myynti'!D165+'4 Myynti'!D169+'4 Myynti'!D170)*(IF('3 Saalis'!D18=0,0,'3 Saalis'!D326/'3 Saalis'!D18))))*'5 Kalan alkukäsittely satamassa'!$D$48)+(('3 Saalis'!D328-(('4 Myynti'!D189+'4 Myynti'!D193+'4 Myynti'!D194)*(IF('3 Saalis'!D20=0,0,'3 Saalis'!D328/'3 Saalis'!D20))))*'5 Kalan alkukäsittely satamassa'!$D$48)+('3 Saalis'!D329-'3 Saalis'!D317-'3 Saalis'!D325-'3 Saalis'!D326-'3 Saalis'!D327-'3 Saalis'!D328)*'5 Kalan alkukäsittely satamassa'!$D$48)</f>
        <v>0</v>
      </c>
      <c r="T167" s="92"/>
      <c r="U167" s="420">
        <f>IF(U107=0,0,S167*'5 Kalan alkukäsittely satamassa'!$G$46/1000)</f>
        <v>0</v>
      </c>
      <c r="W167" s="15"/>
    </row>
    <row r="168" spans="2:23" ht="13.5" thickBot="1" x14ac:dyDescent="0.25">
      <c r="B168" s="358"/>
      <c r="D168" s="2" t="s">
        <v>11</v>
      </c>
      <c r="E168" s="841">
        <v>0</v>
      </c>
      <c r="F168" s="12"/>
      <c r="G168" s="1445">
        <v>1</v>
      </c>
      <c r="I168" s="746"/>
      <c r="L168" s="319"/>
      <c r="M168" s="319"/>
      <c r="N168" s="319"/>
      <c r="P168" s="350"/>
      <c r="S168" s="319"/>
      <c r="T168" s="319"/>
      <c r="U168" s="319"/>
      <c r="W168" s="15"/>
    </row>
    <row r="169" spans="2:23" ht="13.5" thickBot="1" x14ac:dyDescent="0.25">
      <c r="B169" s="358"/>
      <c r="D169" s="2" t="s">
        <v>50</v>
      </c>
      <c r="E169" s="845">
        <v>0</v>
      </c>
      <c r="F169" s="12"/>
      <c r="G169" s="357" t="s">
        <v>48</v>
      </c>
      <c r="I169" s="746"/>
      <c r="K169" s="61" t="s">
        <v>338</v>
      </c>
      <c r="L169" s="352"/>
      <c r="M169" s="352"/>
      <c r="N169" s="745"/>
      <c r="P169" s="350"/>
      <c r="R169" s="61" t="s">
        <v>338</v>
      </c>
      <c r="S169" s="352"/>
      <c r="T169" s="352"/>
      <c r="U169" s="745"/>
      <c r="W169" s="15"/>
    </row>
    <row r="170" spans="2:23" ht="13.5" thickBot="1" x14ac:dyDescent="0.25">
      <c r="B170" s="358"/>
      <c r="D170" s="2" t="s">
        <v>49</v>
      </c>
      <c r="E170" s="1444">
        <v>0</v>
      </c>
      <c r="F170" s="12"/>
      <c r="G170" s="1445">
        <v>1</v>
      </c>
      <c r="I170" s="746"/>
      <c r="K170" s="159" t="s">
        <v>199</v>
      </c>
      <c r="L170" s="845">
        <v>0</v>
      </c>
      <c r="M170" s="91"/>
      <c r="N170" s="713" t="s">
        <v>48</v>
      </c>
      <c r="P170" s="350"/>
      <c r="R170" s="159" t="s">
        <v>199</v>
      </c>
      <c r="S170" s="845">
        <v>0</v>
      </c>
      <c r="T170" s="91"/>
      <c r="U170" s="713" t="s">
        <v>48</v>
      </c>
      <c r="W170" s="15"/>
    </row>
    <row r="171" spans="2:23" ht="13.5" thickBot="1" x14ac:dyDescent="0.25">
      <c r="B171" s="358"/>
      <c r="D171" s="2" t="s">
        <v>10</v>
      </c>
      <c r="E171" s="845">
        <v>0</v>
      </c>
      <c r="F171" s="12"/>
      <c r="G171" s="357"/>
      <c r="I171" s="746"/>
      <c r="K171" s="23" t="s">
        <v>193</v>
      </c>
      <c r="L171" s="841">
        <v>0</v>
      </c>
      <c r="M171" s="12"/>
      <c r="N171" s="1445">
        <v>1</v>
      </c>
      <c r="P171" s="350"/>
      <c r="R171" s="23" t="s">
        <v>193</v>
      </c>
      <c r="S171" s="841">
        <v>0</v>
      </c>
      <c r="T171" s="12"/>
      <c r="U171" s="1445">
        <v>1</v>
      </c>
      <c r="W171" s="15"/>
    </row>
    <row r="172" spans="2:23" ht="13.5" thickBot="1" x14ac:dyDescent="0.25">
      <c r="B172" s="358"/>
      <c r="D172" s="2" t="s">
        <v>53</v>
      </c>
      <c r="E172" s="1171">
        <f>E120</f>
        <v>0</v>
      </c>
      <c r="F172" s="12"/>
      <c r="G172" s="357"/>
      <c r="I172" s="746"/>
      <c r="K172" s="23" t="s">
        <v>192</v>
      </c>
      <c r="L172" s="845">
        <v>0</v>
      </c>
      <c r="M172" s="12"/>
      <c r="N172" s="357"/>
      <c r="P172" s="350"/>
      <c r="R172" s="23" t="s">
        <v>192</v>
      </c>
      <c r="S172" s="845">
        <v>0</v>
      </c>
      <c r="T172" s="12"/>
      <c r="U172" s="357"/>
      <c r="W172" s="15"/>
    </row>
    <row r="173" spans="2:23" ht="13.5" thickBot="1" x14ac:dyDescent="0.25">
      <c r="B173" s="358"/>
      <c r="D173" s="2" t="s">
        <v>550</v>
      </c>
      <c r="E173" s="1172">
        <f>E121</f>
        <v>1.3709677419354838</v>
      </c>
      <c r="F173" s="12"/>
      <c r="G173" s="357"/>
      <c r="I173" s="746"/>
      <c r="K173" s="12" t="s">
        <v>379</v>
      </c>
      <c r="L173" s="617">
        <f>IF(N107=0,0,L170*L140/100*L141*L172)</f>
        <v>0</v>
      </c>
      <c r="M173" s="12"/>
      <c r="N173" s="357"/>
      <c r="P173" s="350"/>
      <c r="R173" s="12" t="s">
        <v>379</v>
      </c>
      <c r="S173" s="617">
        <f>IF(U107=0,0,S170*S140/100*S141*S172)</f>
        <v>0</v>
      </c>
      <c r="T173" s="12"/>
      <c r="U173" s="357"/>
      <c r="W173" s="15"/>
    </row>
    <row r="174" spans="2:23" ht="13.5" thickBot="1" x14ac:dyDescent="0.25">
      <c r="B174" s="358"/>
      <c r="D174" s="3" t="s">
        <v>12</v>
      </c>
      <c r="E174" s="422">
        <f>IF(G107=0,0,E167*E166+E169*E171)</f>
        <v>0</v>
      </c>
      <c r="F174" s="12"/>
      <c r="G174" s="357"/>
      <c r="I174" s="746"/>
      <c r="K174" s="1199" t="s">
        <v>630</v>
      </c>
      <c r="L174" s="863">
        <f>IF(N107=0,0,N171*L172*L171*'11. Työtunnit'!$C$7)</f>
        <v>0</v>
      </c>
      <c r="M174" s="92"/>
      <c r="N174" s="857"/>
      <c r="P174" s="350"/>
      <c r="R174" s="1199" t="s">
        <v>630</v>
      </c>
      <c r="S174" s="863">
        <f>IF(U107=0,0,U171*S172*S171*'11. Työtunnit'!C7)</f>
        <v>0</v>
      </c>
      <c r="T174" s="92"/>
      <c r="U174" s="857"/>
      <c r="W174" s="15"/>
    </row>
    <row r="175" spans="2:23" ht="13.5" thickBot="1" x14ac:dyDescent="0.25">
      <c r="B175" s="358"/>
      <c r="D175" s="3" t="s">
        <v>27</v>
      </c>
      <c r="E175" s="427">
        <f>IF(G107=0,0,(E174/100)*E172*E173)</f>
        <v>0</v>
      </c>
      <c r="F175" s="12"/>
      <c r="G175" s="357"/>
      <c r="I175" s="746"/>
      <c r="P175" s="350"/>
      <c r="W175" s="15"/>
    </row>
    <row r="176" spans="2:23" ht="13.5" thickBot="1" x14ac:dyDescent="0.25">
      <c r="B176" s="358"/>
      <c r="D176" s="3" t="s">
        <v>332</v>
      </c>
      <c r="E176" s="423">
        <f>IF(G107=0,0,E166*E168*G168+E171*E170*G170)</f>
        <v>0</v>
      </c>
      <c r="F176" s="827"/>
      <c r="G176" s="357"/>
      <c r="I176" s="746"/>
      <c r="P176" s="350"/>
      <c r="W176" s="15"/>
    </row>
    <row r="177" spans="2:23" ht="13.5" thickBot="1" x14ac:dyDescent="0.25">
      <c r="B177" s="358"/>
      <c r="D177" s="64" t="s">
        <v>159</v>
      </c>
      <c r="E177" s="423">
        <f>IF(G107=0,0,E176*'11. Työtunnit'!$C$7)</f>
        <v>0</v>
      </c>
      <c r="F177" s="302"/>
      <c r="G177" s="894"/>
      <c r="I177" s="746"/>
      <c r="P177" s="350"/>
      <c r="W177" s="15"/>
    </row>
    <row r="178" spans="2:23" ht="13.5" thickBot="1" x14ac:dyDescent="0.25">
      <c r="B178" s="358"/>
      <c r="D178" s="57" t="s">
        <v>14</v>
      </c>
      <c r="E178" s="835"/>
      <c r="F178" s="827"/>
      <c r="G178" s="357"/>
      <c r="I178" s="746"/>
      <c r="P178" s="350"/>
      <c r="W178" s="15"/>
    </row>
    <row r="179" spans="2:23" ht="13.5" thickBot="1" x14ac:dyDescent="0.25">
      <c r="B179" s="358"/>
      <c r="D179" s="3" t="s">
        <v>18</v>
      </c>
      <c r="E179" s="845">
        <v>0</v>
      </c>
      <c r="F179" s="12"/>
      <c r="G179" s="357" t="s">
        <v>48</v>
      </c>
      <c r="I179" s="746"/>
      <c r="P179" s="350"/>
      <c r="W179" s="15"/>
    </row>
    <row r="180" spans="2:23" ht="13.5" thickBot="1" x14ac:dyDescent="0.25">
      <c r="B180" s="358"/>
      <c r="D180" s="2" t="s">
        <v>16</v>
      </c>
      <c r="E180" s="905">
        <v>0</v>
      </c>
      <c r="F180" s="12"/>
      <c r="G180" s="1445">
        <v>1</v>
      </c>
      <c r="I180" s="746"/>
      <c r="P180" s="350"/>
      <c r="W180" s="15"/>
    </row>
    <row r="181" spans="2:23" ht="13.5" thickBot="1" x14ac:dyDescent="0.25">
      <c r="B181" s="358"/>
      <c r="D181" s="12" t="s">
        <v>205</v>
      </c>
      <c r="E181" s="841">
        <v>0</v>
      </c>
      <c r="F181" s="12"/>
      <c r="G181" s="357" t="s">
        <v>439</v>
      </c>
      <c r="I181" s="746"/>
      <c r="P181" s="350"/>
      <c r="W181" s="15"/>
    </row>
    <row r="182" spans="2:23" ht="13.5" thickBot="1" x14ac:dyDescent="0.25">
      <c r="B182" s="358"/>
      <c r="D182" s="2" t="s">
        <v>549</v>
      </c>
      <c r="E182" s="1208">
        <f>IF(G182=1,'10. Verot'!$C$18/100,IF(G182=2,'10. Verot'!$E$18/100))</f>
        <v>0.72056774193548379</v>
      </c>
      <c r="F182" s="12"/>
      <c r="G182" s="843">
        <v>1</v>
      </c>
      <c r="I182" s="746"/>
      <c r="P182" s="350"/>
      <c r="W182" s="15"/>
    </row>
    <row r="183" spans="2:23" ht="13.5" thickBot="1" x14ac:dyDescent="0.25">
      <c r="B183" s="358"/>
      <c r="D183" s="3" t="s">
        <v>169</v>
      </c>
      <c r="E183" s="427">
        <f>IF(G107=0,0,E179*E181*E182)</f>
        <v>0</v>
      </c>
      <c r="F183" s="12"/>
      <c r="G183" s="357"/>
      <c r="I183" s="746"/>
      <c r="P183" s="350"/>
      <c r="W183" s="15"/>
    </row>
    <row r="184" spans="2:23" ht="13.5" thickBot="1" x14ac:dyDescent="0.25">
      <c r="B184" s="358"/>
      <c r="D184" s="3" t="s">
        <v>28</v>
      </c>
      <c r="E184" s="423">
        <f>IF(G107=0,0,E180*E179*G180)</f>
        <v>0</v>
      </c>
      <c r="F184" s="827"/>
      <c r="G184" s="357"/>
      <c r="I184" s="746"/>
      <c r="P184" s="350"/>
      <c r="W184" s="15"/>
    </row>
    <row r="185" spans="2:23" ht="13.5" thickBot="1" x14ac:dyDescent="0.25">
      <c r="B185" s="358"/>
      <c r="D185" s="7" t="s">
        <v>194</v>
      </c>
      <c r="E185" s="422">
        <f>IF(G107=0,0,E184*'11. Työtunnit'!$C$7)</f>
        <v>0</v>
      </c>
      <c r="F185" s="92"/>
      <c r="G185" s="857"/>
      <c r="I185" s="746"/>
      <c r="P185" s="350"/>
      <c r="W185" s="15"/>
    </row>
    <row r="186" spans="2:23" ht="13.5" thickBot="1" x14ac:dyDescent="0.25">
      <c r="B186" s="358"/>
      <c r="E186" s="319"/>
      <c r="F186" s="319"/>
      <c r="G186" s="327"/>
      <c r="I186" s="746"/>
      <c r="P186" s="350"/>
      <c r="W186" s="15"/>
    </row>
    <row r="187" spans="2:23" ht="13.5" thickBot="1" x14ac:dyDescent="0.25">
      <c r="B187" s="358"/>
      <c r="D187" s="119" t="s">
        <v>175</v>
      </c>
      <c r="E187" s="850"/>
      <c r="F187" s="352"/>
      <c r="G187" s="901"/>
      <c r="I187" s="746"/>
      <c r="P187" s="350"/>
      <c r="W187" s="15"/>
    </row>
    <row r="188" spans="2:23" ht="13.5" thickBot="1" x14ac:dyDescent="0.25">
      <c r="B188" s="358"/>
      <c r="D188" s="158"/>
      <c r="E188" s="826" t="s">
        <v>1</v>
      </c>
      <c r="F188" s="826"/>
      <c r="G188" s="713" t="s">
        <v>48</v>
      </c>
      <c r="I188" s="746"/>
      <c r="P188" s="350"/>
      <c r="W188" s="15"/>
    </row>
    <row r="189" spans="2:23" ht="13.5" thickBot="1" x14ac:dyDescent="0.25">
      <c r="B189" s="358"/>
      <c r="D189" s="2" t="s">
        <v>190</v>
      </c>
      <c r="E189" s="1443">
        <v>0</v>
      </c>
      <c r="F189" s="827"/>
      <c r="G189" s="1445">
        <v>1</v>
      </c>
      <c r="I189" s="746"/>
      <c r="P189" s="350"/>
      <c r="W189" s="15"/>
    </row>
    <row r="190" spans="2:23" ht="13.5" thickBot="1" x14ac:dyDescent="0.25">
      <c r="B190" s="358"/>
      <c r="D190" s="2" t="s">
        <v>191</v>
      </c>
      <c r="E190" s="1443">
        <v>0</v>
      </c>
      <c r="F190" s="827"/>
      <c r="G190" s="1445">
        <v>1</v>
      </c>
      <c r="I190" s="746"/>
      <c r="P190" s="350"/>
      <c r="W190" s="15"/>
    </row>
    <row r="191" spans="2:23" ht="13.5" thickBot="1" x14ac:dyDescent="0.25">
      <c r="B191" s="358"/>
      <c r="D191" s="12" t="s">
        <v>405</v>
      </c>
      <c r="E191" s="1443">
        <v>0</v>
      </c>
      <c r="F191" s="827"/>
      <c r="G191" s="1445">
        <v>1</v>
      </c>
      <c r="I191" s="746"/>
      <c r="P191" s="350"/>
      <c r="W191" s="15"/>
    </row>
    <row r="192" spans="2:23" ht="13.5" thickBot="1" x14ac:dyDescent="0.25">
      <c r="B192" s="358"/>
      <c r="D192" s="3" t="s">
        <v>160</v>
      </c>
      <c r="E192" s="427">
        <f>IF(G107=0,0,(E189*G189+E190*G190+E191*G191))</f>
        <v>0</v>
      </c>
      <c r="F192" s="827"/>
      <c r="G192" s="357"/>
      <c r="I192" s="746"/>
      <c r="P192" s="350"/>
      <c r="W192" s="15"/>
    </row>
    <row r="193" spans="2:23" ht="13.5" thickBot="1" x14ac:dyDescent="0.25">
      <c r="B193" s="358"/>
      <c r="D193" s="3" t="s">
        <v>161</v>
      </c>
      <c r="E193" s="423">
        <f>IF(G107=0,0,E192*G162)</f>
        <v>0</v>
      </c>
      <c r="F193" s="827"/>
      <c r="G193" s="357"/>
      <c r="I193" s="746"/>
      <c r="P193" s="350"/>
      <c r="W193" s="15"/>
    </row>
    <row r="194" spans="2:23" ht="13.5" thickBot="1" x14ac:dyDescent="0.25">
      <c r="B194" s="358"/>
      <c r="D194" s="3" t="s">
        <v>627</v>
      </c>
      <c r="E194" s="423">
        <f>IF(G107=0,0,E193*'11. Työtunnit'!$C$7)</f>
        <v>0</v>
      </c>
      <c r="F194" s="827"/>
      <c r="G194" s="1358" t="s">
        <v>624</v>
      </c>
      <c r="I194" s="746"/>
      <c r="P194" s="350"/>
      <c r="W194" s="15"/>
    </row>
    <row r="195" spans="2:23" ht="13.5" thickBot="1" x14ac:dyDescent="0.25">
      <c r="B195" s="358"/>
      <c r="D195" s="7" t="s">
        <v>312</v>
      </c>
      <c r="E195" s="423">
        <f>IF(G107=0,0,(('3 Saalis'!D229-(('4 Myynti'!D31+'4 Myynti'!D40)*(IF('3 Saalis'!D9=0,0,'3 Saalis'!D229/'3 Saalis'!D9))))*'5 Kalan alkukäsittely satamassa'!$D$47)+(('3 Saalis'!D237-(('4 Myynti'!D151+'4 Myynti'!D155+'4 Myynti'!D156)*(IF('3 Saalis'!D17=0,0,'3 Saalis'!D237/'3 Saalis'!D17))))*'5 Kalan alkukäsittely satamassa'!$D$48)+(('3 Saalis'!D238-(('4 Myynti'!D165+'4 Myynti'!D169+'4 Myynti'!D170)*(IF('3 Saalis'!D18=0,0,'3 Saalis'!D238/'3 Saalis'!D18))))*'5 Kalan alkukäsittely satamassa'!$D$48)+(('3 Saalis'!D240-(('4 Myynti'!D189+'4 Myynti'!D193+'4 Myynti'!D194)*(IF('3 Saalis'!D20=0,0,'3 Saalis'!D240/'3 Saalis'!D20))))*'5 Kalan alkukäsittely satamassa'!$D$48)+('3 Saalis'!D241-'3 Saalis'!D229-'3 Saalis'!D237-'3 Saalis'!D238-'3 Saalis'!D239-'3 Saalis'!D240)*'5 Kalan alkukäsittely satamassa'!$D$48)</f>
        <v>0</v>
      </c>
      <c r="F195" s="828"/>
      <c r="G195" s="428">
        <f>IF(G107=0,0,E195*'5 Kalan alkukäsittely satamassa'!G46/1000)</f>
        <v>0</v>
      </c>
      <c r="I195" s="746"/>
      <c r="P195" s="350"/>
      <c r="W195" s="15"/>
    </row>
    <row r="196" spans="2:23" ht="13.5" thickBot="1" x14ac:dyDescent="0.25">
      <c r="B196" s="358"/>
      <c r="E196" s="319"/>
      <c r="F196" s="319"/>
      <c r="G196" s="319"/>
      <c r="I196" s="746"/>
      <c r="P196" s="350"/>
      <c r="W196" s="15"/>
    </row>
    <row r="197" spans="2:23" ht="13.5" thickBot="1" x14ac:dyDescent="0.25">
      <c r="B197" s="358"/>
      <c r="D197" s="61" t="s">
        <v>338</v>
      </c>
      <c r="E197" s="352"/>
      <c r="F197" s="352"/>
      <c r="G197" s="745"/>
      <c r="I197" s="746"/>
      <c r="P197" s="350"/>
      <c r="W197" s="15"/>
    </row>
    <row r="198" spans="2:23" ht="13.5" thickBot="1" x14ac:dyDescent="0.25">
      <c r="B198" s="358"/>
      <c r="D198" s="159" t="s">
        <v>199</v>
      </c>
      <c r="E198" s="845">
        <v>0</v>
      </c>
      <c r="F198" s="91"/>
      <c r="G198" s="713" t="s">
        <v>48</v>
      </c>
      <c r="I198" s="746"/>
      <c r="P198" s="350"/>
      <c r="W198" s="15"/>
    </row>
    <row r="199" spans="2:23" ht="13.5" thickBot="1" x14ac:dyDescent="0.25">
      <c r="B199" s="358"/>
      <c r="D199" s="23" t="s">
        <v>193</v>
      </c>
      <c r="E199" s="841">
        <v>0</v>
      </c>
      <c r="F199" s="12"/>
      <c r="G199" s="1445">
        <v>1</v>
      </c>
      <c r="I199" s="746"/>
      <c r="P199" s="350"/>
      <c r="W199" s="15"/>
    </row>
    <row r="200" spans="2:23" ht="13.5" thickBot="1" x14ac:dyDescent="0.25">
      <c r="B200" s="358"/>
      <c r="D200" s="23" t="s">
        <v>192</v>
      </c>
      <c r="E200" s="845">
        <v>0</v>
      </c>
      <c r="F200" s="12"/>
      <c r="G200" s="357"/>
      <c r="I200" s="746"/>
      <c r="P200" s="350"/>
      <c r="W200" s="15"/>
    </row>
    <row r="201" spans="2:23" ht="13.5" thickBot="1" x14ac:dyDescent="0.25">
      <c r="B201" s="358"/>
      <c r="D201" s="12" t="s">
        <v>379</v>
      </c>
      <c r="E201" s="617">
        <f>IF(G107=0,0,E198*E172/100*E173*E200)</f>
        <v>0</v>
      </c>
      <c r="F201" s="12"/>
      <c r="G201" s="357"/>
      <c r="I201" s="746"/>
      <c r="P201" s="350"/>
      <c r="W201" s="15"/>
    </row>
    <row r="202" spans="2:23" ht="13.5" thickBot="1" x14ac:dyDescent="0.25">
      <c r="B202" s="358"/>
      <c r="D202" s="1199" t="s">
        <v>628</v>
      </c>
      <c r="E202" s="863">
        <f>IF(G107=0,0,E200*E199*G199*'11. Työtunnit'!$C$7)</f>
        <v>0</v>
      </c>
      <c r="F202" s="92"/>
      <c r="G202" s="857"/>
      <c r="I202" s="746"/>
      <c r="P202" s="350"/>
      <c r="W202" s="15"/>
    </row>
    <row r="203" spans="2:23" x14ac:dyDescent="0.2">
      <c r="B203" s="358"/>
      <c r="I203" s="746"/>
      <c r="P203" s="350"/>
      <c r="W203" s="15"/>
    </row>
    <row r="204" spans="2:23" x14ac:dyDescent="0.2">
      <c r="B204" s="358"/>
      <c r="I204" s="746"/>
      <c r="P204" s="350"/>
      <c r="W204" s="15"/>
    </row>
  </sheetData>
  <sheetProtection password="C576" sheet="1" objects="1" scenarios="1"/>
  <mergeCells count="4">
    <mergeCell ref="L4:N4"/>
    <mergeCell ref="S4:U4"/>
    <mergeCell ref="L105:N105"/>
    <mergeCell ref="S105:U105"/>
  </mergeCells>
  <phoneticPr fontId="0" type="noConversion"/>
  <pageMargins left="0.19685039370078741" right="0.19685039370078741" top="0.19685039370078741" bottom="0.19685039370078741" header="0.51181102362204722" footer="0.51181102362204722"/>
  <pageSetup paperSize="9" scale="52" orientation="portrait" r:id="rId1"/>
  <headerFooter alignWithMargins="0"/>
  <ignoredErrors>
    <ignoredError sqref="E81 L49 L57" unlockedFormula="1"/>
  </ignoredErrors>
  <legacyDrawing r:id="rId2"/>
  <pictur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CV356"/>
  <sheetViews>
    <sheetView showGridLines="0" zoomScale="97" zoomScaleNormal="97" zoomScaleSheetLayoutView="69" workbookViewId="0">
      <selection activeCell="Q36" sqref="Q36"/>
    </sheetView>
  </sheetViews>
  <sheetFormatPr defaultRowHeight="12.75" x14ac:dyDescent="0.2"/>
  <cols>
    <col min="1" max="1" width="2.140625" customWidth="1"/>
    <col min="2" max="2" width="22.7109375" customWidth="1"/>
    <col min="3" max="3" width="12.42578125" customWidth="1"/>
    <col min="4" max="4" width="9.28515625" customWidth="1"/>
    <col min="5" max="16" width="8.7109375" customWidth="1"/>
    <col min="17" max="17" width="3.5703125" customWidth="1"/>
    <col min="18" max="18" width="0.5703125" customWidth="1"/>
    <col min="19" max="19" width="8.5703125" customWidth="1"/>
    <col min="20" max="20" width="22.7109375" customWidth="1"/>
    <col min="21" max="21" width="10.7109375" customWidth="1"/>
    <col min="24" max="24" width="9.140625" customWidth="1"/>
    <col min="27" max="27" width="5.85546875" customWidth="1"/>
    <col min="36" max="36" width="24.28515625" bestFit="1" customWidth="1"/>
    <col min="37" max="37" width="10.85546875" customWidth="1"/>
    <col min="44" max="44" width="7.140625" customWidth="1"/>
    <col min="54" max="54" width="5" customWidth="1"/>
    <col min="56" max="56" width="2.140625" customWidth="1"/>
    <col min="57" max="57" width="20.7109375" customWidth="1"/>
    <col min="58" max="58" width="11.5703125" customWidth="1"/>
    <col min="59" max="59" width="9.28515625" customWidth="1"/>
    <col min="60" max="60" width="6.7109375" customWidth="1"/>
    <col min="61" max="61" width="7.140625" customWidth="1"/>
    <col min="62" max="63" width="6.7109375" customWidth="1"/>
    <col min="64" max="64" width="7.7109375" customWidth="1"/>
    <col min="65" max="65" width="7.5703125" customWidth="1"/>
    <col min="66" max="66" width="7.28515625" customWidth="1"/>
    <col min="67" max="70" width="6.7109375" customWidth="1"/>
    <col min="71" max="71" width="7.5703125" customWidth="1"/>
    <col min="72" max="73" width="23.140625" bestFit="1" customWidth="1"/>
    <col min="74" max="83" width="6.7109375" customWidth="1"/>
    <col min="84" max="84" width="6" customWidth="1"/>
    <col min="85" max="85" width="6.7109375" customWidth="1"/>
    <col min="87" max="87" width="22.42578125" customWidth="1"/>
    <col min="88" max="88" width="11.140625" customWidth="1"/>
    <col min="97" max="97" width="11" bestFit="1" customWidth="1"/>
    <col min="102" max="102" width="20.85546875" bestFit="1" customWidth="1"/>
  </cols>
  <sheetData>
    <row r="2" spans="2:100" ht="30.75" customHeight="1" thickBot="1" x14ac:dyDescent="0.35">
      <c r="T2" s="705"/>
      <c r="U2" s="715" t="s">
        <v>45</v>
      </c>
      <c r="V2" s="705"/>
      <c r="W2" s="705"/>
      <c r="X2" s="705"/>
      <c r="Y2" s="705"/>
      <c r="Z2" s="705"/>
      <c r="AA2" s="705"/>
      <c r="AB2" s="705"/>
      <c r="AC2" s="705"/>
      <c r="AD2" s="705"/>
      <c r="AE2" s="715" t="str">
        <f>B23</f>
        <v>Verkko1</v>
      </c>
      <c r="AF2" s="705"/>
      <c r="AG2" s="705"/>
      <c r="AH2" s="705"/>
      <c r="AI2" s="705"/>
      <c r="AJ2" s="705"/>
      <c r="AK2" s="705"/>
      <c r="AL2" s="705"/>
      <c r="AM2" s="715" t="str">
        <f>B111</f>
        <v>Verkko2</v>
      </c>
      <c r="AN2" s="705"/>
      <c r="AO2" s="705"/>
      <c r="AP2" s="705"/>
      <c r="AQ2" s="705"/>
      <c r="AR2" s="705"/>
      <c r="AS2" s="705"/>
      <c r="AT2" s="705"/>
      <c r="AU2" s="705"/>
      <c r="AV2" s="705"/>
      <c r="AW2" s="715" t="str">
        <f>B199</f>
        <v>Isorysä1</v>
      </c>
      <c r="AX2" s="705"/>
      <c r="AY2" s="705"/>
      <c r="AZ2" s="705"/>
      <c r="BA2" s="705"/>
      <c r="BB2" s="705"/>
      <c r="BC2" s="705"/>
      <c r="BD2" s="705"/>
      <c r="BE2" s="705"/>
      <c r="BF2" s="715" t="str">
        <f>B221</f>
        <v>Isorysä2</v>
      </c>
      <c r="BG2" s="705"/>
      <c r="BH2" s="705"/>
      <c r="BI2" s="705"/>
      <c r="BJ2" s="705"/>
      <c r="BK2" s="705"/>
      <c r="BL2" s="705"/>
      <c r="BM2" s="705"/>
      <c r="BN2" s="705"/>
      <c r="BO2" s="705"/>
      <c r="BP2" s="705"/>
      <c r="BQ2" s="705"/>
      <c r="BR2" s="715" t="str">
        <f>B243</f>
        <v>PU-rysä1</v>
      </c>
      <c r="BS2" s="705"/>
      <c r="BT2" s="705"/>
      <c r="BU2" s="705"/>
      <c r="BV2" s="705"/>
      <c r="BW2" s="705"/>
      <c r="BX2" s="705"/>
      <c r="BY2" s="705"/>
      <c r="BZ2" s="715" t="str">
        <f>B287</f>
        <v>PU-rysä2</v>
      </c>
      <c r="CA2" s="705"/>
      <c r="CB2" s="705"/>
      <c r="CC2" s="705"/>
      <c r="CD2" s="705"/>
      <c r="CE2" s="705"/>
      <c r="CF2" s="705"/>
    </row>
    <row r="3" spans="2:100" ht="24" thickBot="1" x14ac:dyDescent="0.4">
      <c r="B3" s="32" t="s">
        <v>30</v>
      </c>
      <c r="C3" s="39"/>
      <c r="BV3" s="705"/>
      <c r="BW3" s="705"/>
      <c r="BX3" s="705"/>
      <c r="BY3" s="705"/>
      <c r="BZ3" s="705"/>
      <c r="CA3" s="705"/>
      <c r="CB3" s="705"/>
      <c r="CC3" s="705"/>
      <c r="CD3" s="705"/>
      <c r="CE3" s="705"/>
      <c r="CF3" s="705"/>
      <c r="CI3" s="32" t="s">
        <v>109</v>
      </c>
      <c r="CJ3" s="32"/>
      <c r="CK3" s="32"/>
      <c r="CL3" s="89"/>
      <c r="CM3" s="363"/>
    </row>
    <row r="4" spans="2:100" ht="20.100000000000001" customHeight="1" thickBot="1" x14ac:dyDescent="0.25"/>
    <row r="5" spans="2:100" ht="24" thickBot="1" x14ac:dyDescent="0.4">
      <c r="B5" s="735" t="s">
        <v>45</v>
      </c>
      <c r="C5" s="736"/>
      <c r="D5" s="377"/>
      <c r="E5" s="377"/>
      <c r="F5" s="377"/>
      <c r="G5" s="377"/>
      <c r="H5" s="377"/>
      <c r="I5" s="734"/>
      <c r="CI5" s="735" t="s">
        <v>45</v>
      </c>
      <c r="CJ5" s="736"/>
      <c r="CK5" s="377"/>
      <c r="CL5" s="377"/>
      <c r="CM5" s="377"/>
      <c r="CN5" s="377"/>
      <c r="CO5" s="377"/>
      <c r="CP5" s="734"/>
    </row>
    <row r="6" spans="2:100" ht="13.5" customHeight="1" thickBot="1" x14ac:dyDescent="0.4">
      <c r="E6" s="39"/>
      <c r="F6" s="37"/>
      <c r="G6" s="37"/>
      <c r="H6" s="37"/>
      <c r="I6" s="37"/>
      <c r="J6" s="37"/>
      <c r="K6" s="37"/>
      <c r="CL6" s="39"/>
      <c r="CM6" s="37"/>
      <c r="CN6" s="37"/>
      <c r="CO6" s="37"/>
      <c r="CP6" s="37"/>
      <c r="CQ6" s="37"/>
      <c r="CR6" s="37"/>
    </row>
    <row r="7" spans="2:100" ht="13.5" thickBot="1" x14ac:dyDescent="0.25">
      <c r="B7" s="5" t="s">
        <v>73</v>
      </c>
      <c r="C7" s="36"/>
      <c r="D7" s="52" t="s">
        <v>40</v>
      </c>
      <c r="E7" s="47"/>
      <c r="F7" s="48"/>
      <c r="G7" s="48"/>
      <c r="H7" s="48"/>
      <c r="I7" s="48"/>
      <c r="J7" s="41" t="s">
        <v>42</v>
      </c>
      <c r="K7" s="48"/>
      <c r="L7" s="48"/>
      <c r="M7" s="48"/>
      <c r="N7" s="48"/>
      <c r="O7" s="48"/>
      <c r="P7" s="49"/>
      <c r="CI7" s="5" t="s">
        <v>73</v>
      </c>
      <c r="CJ7" s="51" t="s">
        <v>40</v>
      </c>
      <c r="CK7" s="47"/>
      <c r="CL7" s="48"/>
      <c r="CM7" s="48"/>
      <c r="CN7" s="48"/>
      <c r="CO7" s="48"/>
      <c r="CP7" s="41" t="s">
        <v>42</v>
      </c>
      <c r="CQ7" s="48"/>
      <c r="CR7" s="48"/>
      <c r="CS7" s="48"/>
      <c r="CT7" s="48"/>
      <c r="CU7" s="48"/>
      <c r="CV7" s="49"/>
    </row>
    <row r="8" spans="2:100" ht="13.5" thickBot="1" x14ac:dyDescent="0.25">
      <c r="B8" s="57"/>
      <c r="C8" s="59"/>
      <c r="D8" s="53" t="s">
        <v>41</v>
      </c>
      <c r="E8" s="80">
        <v>1</v>
      </c>
      <c r="F8" s="33">
        <v>2</v>
      </c>
      <c r="G8" s="33">
        <v>3</v>
      </c>
      <c r="H8" s="33">
        <v>4</v>
      </c>
      <c r="I8" s="33">
        <v>5</v>
      </c>
      <c r="J8" s="33">
        <v>6</v>
      </c>
      <c r="K8" s="33">
        <v>7</v>
      </c>
      <c r="L8" s="33">
        <v>8</v>
      </c>
      <c r="M8" s="33">
        <v>9</v>
      </c>
      <c r="N8" s="33">
        <v>10</v>
      </c>
      <c r="O8" s="33">
        <v>11</v>
      </c>
      <c r="P8" s="79">
        <v>12</v>
      </c>
      <c r="CI8" s="57"/>
      <c r="CJ8" s="50" t="s">
        <v>41</v>
      </c>
      <c r="CK8" s="78">
        <v>1</v>
      </c>
      <c r="CL8" s="70">
        <v>2</v>
      </c>
      <c r="CM8" s="70">
        <v>3</v>
      </c>
      <c r="CN8" s="70">
        <v>4</v>
      </c>
      <c r="CO8" s="70">
        <v>5</v>
      </c>
      <c r="CP8" s="70">
        <v>6</v>
      </c>
      <c r="CQ8" s="70">
        <v>7</v>
      </c>
      <c r="CR8" s="70">
        <v>8</v>
      </c>
      <c r="CS8" s="70">
        <v>9</v>
      </c>
      <c r="CT8" s="70">
        <v>10</v>
      </c>
      <c r="CU8" s="70">
        <v>11</v>
      </c>
      <c r="CV8" s="71">
        <v>12</v>
      </c>
    </row>
    <row r="9" spans="2:100" x14ac:dyDescent="0.2">
      <c r="B9" s="5" t="s">
        <v>100</v>
      </c>
      <c r="C9" s="36"/>
      <c r="D9" s="425">
        <f>SUM(E9:P9)</f>
        <v>0</v>
      </c>
      <c r="E9" s="918">
        <f>E31+E53+E75+E97+E119+E141+E163+E185+E207+E229+E251+E273+E295+E317</f>
        <v>0</v>
      </c>
      <c r="F9" s="741">
        <f>F31+F53+F75+F97+F119+F141+F163+F185+F207+F229+F251+F273+F295+F317</f>
        <v>0</v>
      </c>
      <c r="G9" s="741">
        <f t="shared" ref="G9:P9" si="0">G31+G53+G75+G97+G119+G141+G163+G185+G207+G229+G251+G273+G295+G317</f>
        <v>0</v>
      </c>
      <c r="H9" s="741">
        <f t="shared" si="0"/>
        <v>0</v>
      </c>
      <c r="I9" s="741">
        <f t="shared" si="0"/>
        <v>0</v>
      </c>
      <c r="J9" s="741">
        <f t="shared" si="0"/>
        <v>0</v>
      </c>
      <c r="K9" s="741">
        <f t="shared" si="0"/>
        <v>0</v>
      </c>
      <c r="L9" s="741">
        <f t="shared" si="0"/>
        <v>0</v>
      </c>
      <c r="M9" s="741">
        <f t="shared" si="0"/>
        <v>0</v>
      </c>
      <c r="N9" s="741">
        <f t="shared" si="0"/>
        <v>0</v>
      </c>
      <c r="O9" s="741">
        <f t="shared" si="0"/>
        <v>0</v>
      </c>
      <c r="P9" s="919">
        <f t="shared" si="0"/>
        <v>0</v>
      </c>
      <c r="CI9" s="5" t="s">
        <v>100</v>
      </c>
      <c r="CJ9" s="476">
        <f t="shared" ref="CJ9:CV9" si="1">CJ75+CJ119+CJ31+CJ97+CJ141+CJ53</f>
        <v>0</v>
      </c>
      <c r="CK9" s="467">
        <f>CK75+CK119+CK31+CK97+CK141+CK53</f>
        <v>0</v>
      </c>
      <c r="CL9" s="468">
        <f t="shared" si="1"/>
        <v>0</v>
      </c>
      <c r="CM9" s="468">
        <f t="shared" si="1"/>
        <v>0</v>
      </c>
      <c r="CN9" s="468">
        <f t="shared" si="1"/>
        <v>0</v>
      </c>
      <c r="CO9" s="468">
        <f t="shared" si="1"/>
        <v>0</v>
      </c>
      <c r="CP9" s="468">
        <f t="shared" si="1"/>
        <v>0</v>
      </c>
      <c r="CQ9" s="468">
        <f t="shared" si="1"/>
        <v>0</v>
      </c>
      <c r="CR9" s="468">
        <f t="shared" si="1"/>
        <v>0</v>
      </c>
      <c r="CS9" s="468">
        <f t="shared" si="1"/>
        <v>0</v>
      </c>
      <c r="CT9" s="468">
        <f t="shared" si="1"/>
        <v>0</v>
      </c>
      <c r="CU9" s="468">
        <f t="shared" si="1"/>
        <v>0</v>
      </c>
      <c r="CV9" s="469">
        <f t="shared" si="1"/>
        <v>0</v>
      </c>
    </row>
    <row r="10" spans="2:100" x14ac:dyDescent="0.2">
      <c r="B10" s="57" t="s">
        <v>108</v>
      </c>
      <c r="C10" s="59"/>
      <c r="D10" s="510">
        <f t="shared" ref="D10:D19" si="2">SUM(E10:P10)</f>
        <v>0</v>
      </c>
      <c r="E10" s="511">
        <f t="shared" ref="E10:F16" si="3">E32+E54+E76+E98+E120+E142+E164+E186+E208+E230+E252+E274+E296+E318</f>
        <v>0</v>
      </c>
      <c r="F10" s="438">
        <f t="shared" si="3"/>
        <v>0</v>
      </c>
      <c r="G10" s="438">
        <f t="shared" ref="G10:P10" si="4">G32+G54+G76+G98+G120+G142+G164+G186+G208+G230+G252+G274+G296+G318</f>
        <v>0</v>
      </c>
      <c r="H10" s="438">
        <f t="shared" si="4"/>
        <v>0</v>
      </c>
      <c r="I10" s="438">
        <f t="shared" si="4"/>
        <v>0</v>
      </c>
      <c r="J10" s="438">
        <f t="shared" si="4"/>
        <v>0</v>
      </c>
      <c r="K10" s="438">
        <f t="shared" si="4"/>
        <v>0</v>
      </c>
      <c r="L10" s="438">
        <f t="shared" si="4"/>
        <v>0</v>
      </c>
      <c r="M10" s="438">
        <f t="shared" si="4"/>
        <v>0</v>
      </c>
      <c r="N10" s="438">
        <f t="shared" si="4"/>
        <v>0</v>
      </c>
      <c r="O10" s="438">
        <f t="shared" si="4"/>
        <v>0</v>
      </c>
      <c r="P10" s="439">
        <f t="shared" si="4"/>
        <v>0</v>
      </c>
      <c r="CI10" s="57" t="s">
        <v>108</v>
      </c>
      <c r="CJ10" s="477">
        <f t="shared" ref="CJ10:CV10" si="5">CJ76+CJ120+CJ32+CJ98+CJ142+CJ54</f>
        <v>0</v>
      </c>
      <c r="CK10" s="470">
        <f t="shared" si="5"/>
        <v>0</v>
      </c>
      <c r="CL10" s="471">
        <f t="shared" si="5"/>
        <v>0</v>
      </c>
      <c r="CM10" s="471">
        <f t="shared" si="5"/>
        <v>0</v>
      </c>
      <c r="CN10" s="471">
        <f t="shared" si="5"/>
        <v>0</v>
      </c>
      <c r="CO10" s="471">
        <f t="shared" si="5"/>
        <v>0</v>
      </c>
      <c r="CP10" s="471">
        <f t="shared" si="5"/>
        <v>0</v>
      </c>
      <c r="CQ10" s="471">
        <f t="shared" si="5"/>
        <v>0</v>
      </c>
      <c r="CR10" s="471">
        <f t="shared" si="5"/>
        <v>0</v>
      </c>
      <c r="CS10" s="471">
        <f t="shared" si="5"/>
        <v>0</v>
      </c>
      <c r="CT10" s="471">
        <f t="shared" si="5"/>
        <v>0</v>
      </c>
      <c r="CU10" s="471">
        <f t="shared" si="5"/>
        <v>0</v>
      </c>
      <c r="CV10" s="472">
        <f t="shared" si="5"/>
        <v>0</v>
      </c>
    </row>
    <row r="11" spans="2:100" x14ac:dyDescent="0.2">
      <c r="B11" s="714" t="s">
        <v>101</v>
      </c>
      <c r="C11" s="59"/>
      <c r="D11" s="510">
        <f t="shared" si="2"/>
        <v>0</v>
      </c>
      <c r="E11" s="511">
        <f t="shared" si="3"/>
        <v>0</v>
      </c>
      <c r="F11" s="438">
        <f t="shared" si="3"/>
        <v>0</v>
      </c>
      <c r="G11" s="438">
        <f t="shared" ref="G11:P11" si="6">G33+G55+G77+G99+G121+G143+G165+G187+G209+G231+G253+G275+G297+G319</f>
        <v>0</v>
      </c>
      <c r="H11" s="438">
        <f t="shared" si="6"/>
        <v>0</v>
      </c>
      <c r="I11" s="438">
        <f t="shared" si="6"/>
        <v>0</v>
      </c>
      <c r="J11" s="438">
        <f t="shared" si="6"/>
        <v>0</v>
      </c>
      <c r="K11" s="438">
        <f t="shared" si="6"/>
        <v>0</v>
      </c>
      <c r="L11" s="438">
        <f t="shared" si="6"/>
        <v>0</v>
      </c>
      <c r="M11" s="438">
        <f t="shared" si="6"/>
        <v>0</v>
      </c>
      <c r="N11" s="438">
        <f t="shared" si="6"/>
        <v>0</v>
      </c>
      <c r="O11" s="438">
        <f t="shared" si="6"/>
        <v>0</v>
      </c>
      <c r="P11" s="439">
        <f t="shared" si="6"/>
        <v>0</v>
      </c>
      <c r="CI11" s="57" t="s">
        <v>101</v>
      </c>
      <c r="CJ11" s="477">
        <f t="shared" ref="CJ11:CV11" si="7">CJ77+CJ121+CJ33+CJ99+CJ143+CJ55</f>
        <v>0</v>
      </c>
      <c r="CK11" s="470">
        <f t="shared" si="7"/>
        <v>0</v>
      </c>
      <c r="CL11" s="471">
        <f>CL77+CL121+CL33+CL99+CL143+CL55</f>
        <v>0</v>
      </c>
      <c r="CM11" s="471">
        <f t="shared" si="7"/>
        <v>0</v>
      </c>
      <c r="CN11" s="471">
        <f t="shared" si="7"/>
        <v>0</v>
      </c>
      <c r="CO11" s="471">
        <f t="shared" si="7"/>
        <v>0</v>
      </c>
      <c r="CP11" s="471">
        <f t="shared" si="7"/>
        <v>0</v>
      </c>
      <c r="CQ11" s="471">
        <f t="shared" si="7"/>
        <v>0</v>
      </c>
      <c r="CR11" s="471">
        <f t="shared" si="7"/>
        <v>0</v>
      </c>
      <c r="CS11" s="471">
        <f t="shared" si="7"/>
        <v>0</v>
      </c>
      <c r="CT11" s="471">
        <f t="shared" si="7"/>
        <v>0</v>
      </c>
      <c r="CU11" s="471">
        <f t="shared" si="7"/>
        <v>0</v>
      </c>
      <c r="CV11" s="472">
        <f t="shared" si="7"/>
        <v>0</v>
      </c>
    </row>
    <row r="12" spans="2:100" x14ac:dyDescent="0.2">
      <c r="B12" s="57" t="s">
        <v>102</v>
      </c>
      <c r="C12" s="59"/>
      <c r="D12" s="510">
        <f t="shared" si="2"/>
        <v>0</v>
      </c>
      <c r="E12" s="511">
        <f t="shared" si="3"/>
        <v>0</v>
      </c>
      <c r="F12" s="438">
        <f t="shared" si="3"/>
        <v>0</v>
      </c>
      <c r="G12" s="438">
        <f t="shared" ref="G12:P12" si="8">G34+G56+G78+G100+G122+G144+G166+G188+G210+G232+G254+G276+G298+G320</f>
        <v>0</v>
      </c>
      <c r="H12" s="438">
        <f t="shared" si="8"/>
        <v>0</v>
      </c>
      <c r="I12" s="438">
        <f t="shared" si="8"/>
        <v>0</v>
      </c>
      <c r="J12" s="438">
        <f t="shared" si="8"/>
        <v>0</v>
      </c>
      <c r="K12" s="438">
        <f t="shared" si="8"/>
        <v>0</v>
      </c>
      <c r="L12" s="438">
        <f t="shared" si="8"/>
        <v>0</v>
      </c>
      <c r="M12" s="438">
        <f t="shared" si="8"/>
        <v>0</v>
      </c>
      <c r="N12" s="438">
        <f t="shared" si="8"/>
        <v>0</v>
      </c>
      <c r="O12" s="438">
        <f t="shared" si="8"/>
        <v>0</v>
      </c>
      <c r="P12" s="439">
        <f t="shared" si="8"/>
        <v>0</v>
      </c>
      <c r="CI12" s="57" t="s">
        <v>102</v>
      </c>
      <c r="CJ12" s="477">
        <f t="shared" ref="CJ12:CV12" si="9">CJ78+CJ122+CJ34+CJ100+CJ144+CJ56</f>
        <v>0</v>
      </c>
      <c r="CK12" s="470">
        <f t="shared" si="9"/>
        <v>0</v>
      </c>
      <c r="CL12" s="471">
        <f t="shared" si="9"/>
        <v>0</v>
      </c>
      <c r="CM12" s="471">
        <f t="shared" si="9"/>
        <v>0</v>
      </c>
      <c r="CN12" s="471">
        <f t="shared" si="9"/>
        <v>0</v>
      </c>
      <c r="CO12" s="471">
        <f t="shared" si="9"/>
        <v>0</v>
      </c>
      <c r="CP12" s="471">
        <f t="shared" si="9"/>
        <v>0</v>
      </c>
      <c r="CQ12" s="471">
        <f t="shared" si="9"/>
        <v>0</v>
      </c>
      <c r="CR12" s="471">
        <f t="shared" si="9"/>
        <v>0</v>
      </c>
      <c r="CS12" s="471">
        <f t="shared" si="9"/>
        <v>0</v>
      </c>
      <c r="CT12" s="471">
        <f t="shared" si="9"/>
        <v>0</v>
      </c>
      <c r="CU12" s="471">
        <f t="shared" si="9"/>
        <v>0</v>
      </c>
      <c r="CV12" s="472">
        <f t="shared" si="9"/>
        <v>0</v>
      </c>
    </row>
    <row r="13" spans="2:100" x14ac:dyDescent="0.2">
      <c r="B13" s="57" t="s">
        <v>103</v>
      </c>
      <c r="C13" s="59"/>
      <c r="D13" s="510">
        <f t="shared" si="2"/>
        <v>0</v>
      </c>
      <c r="E13" s="511">
        <f t="shared" si="3"/>
        <v>0</v>
      </c>
      <c r="F13" s="438">
        <f t="shared" si="3"/>
        <v>0</v>
      </c>
      <c r="G13" s="438">
        <f t="shared" ref="G13:P13" si="10">G35+G57+G79+G101+G123+G145+G167+G189+G211+G233+G255+G277+G299+G321</f>
        <v>0</v>
      </c>
      <c r="H13" s="438">
        <f t="shared" si="10"/>
        <v>0</v>
      </c>
      <c r="I13" s="438">
        <f t="shared" si="10"/>
        <v>0</v>
      </c>
      <c r="J13" s="438">
        <f t="shared" si="10"/>
        <v>0</v>
      </c>
      <c r="K13" s="438">
        <f t="shared" si="10"/>
        <v>0</v>
      </c>
      <c r="L13" s="438">
        <f t="shared" si="10"/>
        <v>0</v>
      </c>
      <c r="M13" s="438">
        <f t="shared" si="10"/>
        <v>0</v>
      </c>
      <c r="N13" s="438">
        <f t="shared" si="10"/>
        <v>0</v>
      </c>
      <c r="O13" s="438">
        <f t="shared" si="10"/>
        <v>0</v>
      </c>
      <c r="P13" s="439">
        <f t="shared" si="10"/>
        <v>0</v>
      </c>
      <c r="CI13" s="57" t="s">
        <v>103</v>
      </c>
      <c r="CJ13" s="477">
        <f t="shared" ref="CJ13:CV13" si="11">CJ79+CJ123+CJ35+CJ101+CJ145+CJ57</f>
        <v>0</v>
      </c>
      <c r="CK13" s="470">
        <f t="shared" si="11"/>
        <v>0</v>
      </c>
      <c r="CL13" s="471">
        <f t="shared" si="11"/>
        <v>0</v>
      </c>
      <c r="CM13" s="471">
        <f t="shared" si="11"/>
        <v>0</v>
      </c>
      <c r="CN13" s="471">
        <f t="shared" si="11"/>
        <v>0</v>
      </c>
      <c r="CO13" s="471">
        <f t="shared" si="11"/>
        <v>0</v>
      </c>
      <c r="CP13" s="471">
        <f t="shared" si="11"/>
        <v>0</v>
      </c>
      <c r="CQ13" s="471">
        <f t="shared" si="11"/>
        <v>0</v>
      </c>
      <c r="CR13" s="471">
        <f t="shared" si="11"/>
        <v>0</v>
      </c>
      <c r="CS13" s="471">
        <f t="shared" si="11"/>
        <v>0</v>
      </c>
      <c r="CT13" s="471">
        <f t="shared" si="11"/>
        <v>0</v>
      </c>
      <c r="CU13" s="471">
        <f t="shared" si="11"/>
        <v>0</v>
      </c>
      <c r="CV13" s="472">
        <f t="shared" si="11"/>
        <v>0</v>
      </c>
    </row>
    <row r="14" spans="2:100" x14ac:dyDescent="0.2">
      <c r="B14" s="57" t="s">
        <v>104</v>
      </c>
      <c r="C14" s="59"/>
      <c r="D14" s="510">
        <f t="shared" si="2"/>
        <v>0</v>
      </c>
      <c r="E14" s="511">
        <f t="shared" si="3"/>
        <v>0</v>
      </c>
      <c r="F14" s="438">
        <f t="shared" si="3"/>
        <v>0</v>
      </c>
      <c r="G14" s="438">
        <f t="shared" ref="G14:P14" si="12">G36+G58+G80+G102+G124+G146+G168+G190+G212+G234+G256+G278+G300+G322</f>
        <v>0</v>
      </c>
      <c r="H14" s="438">
        <f t="shared" si="12"/>
        <v>0</v>
      </c>
      <c r="I14" s="438">
        <f t="shared" si="12"/>
        <v>0</v>
      </c>
      <c r="J14" s="438">
        <f t="shared" ref="J14:K20" si="13">J36+J58+J80+J102+J124+J146+J168+J190+J212+J234+J256+J278+J300+J322</f>
        <v>0</v>
      </c>
      <c r="K14" s="438">
        <f t="shared" si="13"/>
        <v>0</v>
      </c>
      <c r="L14" s="438">
        <f t="shared" si="12"/>
        <v>0</v>
      </c>
      <c r="M14" s="438">
        <f t="shared" si="12"/>
        <v>0</v>
      </c>
      <c r="N14" s="438">
        <f t="shared" si="12"/>
        <v>0</v>
      </c>
      <c r="O14" s="438">
        <f t="shared" si="12"/>
        <v>0</v>
      </c>
      <c r="P14" s="439">
        <f t="shared" si="12"/>
        <v>0</v>
      </c>
      <c r="CI14" s="57" t="s">
        <v>104</v>
      </c>
      <c r="CJ14" s="477">
        <f t="shared" ref="CJ14:CV14" si="14">CJ80+CJ124+CJ36+CJ102+CJ146+CJ58</f>
        <v>0</v>
      </c>
      <c r="CK14" s="470">
        <f t="shared" si="14"/>
        <v>0</v>
      </c>
      <c r="CL14" s="471">
        <f t="shared" si="14"/>
        <v>0</v>
      </c>
      <c r="CM14" s="471">
        <f t="shared" si="14"/>
        <v>0</v>
      </c>
      <c r="CN14" s="471">
        <f t="shared" si="14"/>
        <v>0</v>
      </c>
      <c r="CO14" s="471">
        <f t="shared" si="14"/>
        <v>0</v>
      </c>
      <c r="CP14" s="471">
        <f t="shared" si="14"/>
        <v>0</v>
      </c>
      <c r="CQ14" s="471">
        <f t="shared" si="14"/>
        <v>0</v>
      </c>
      <c r="CR14" s="471">
        <f t="shared" si="14"/>
        <v>0</v>
      </c>
      <c r="CS14" s="471">
        <f t="shared" si="14"/>
        <v>0</v>
      </c>
      <c r="CT14" s="471">
        <f t="shared" si="14"/>
        <v>0</v>
      </c>
      <c r="CU14" s="471">
        <f t="shared" si="14"/>
        <v>0</v>
      </c>
      <c r="CV14" s="472">
        <f t="shared" si="14"/>
        <v>0</v>
      </c>
    </row>
    <row r="15" spans="2:100" x14ac:dyDescent="0.2">
      <c r="B15" s="57" t="s">
        <v>105</v>
      </c>
      <c r="C15" s="59"/>
      <c r="D15" s="510">
        <f>SUM(E15:P15)</f>
        <v>0</v>
      </c>
      <c r="E15" s="511">
        <f t="shared" si="3"/>
        <v>0</v>
      </c>
      <c r="F15" s="438">
        <f t="shared" si="3"/>
        <v>0</v>
      </c>
      <c r="G15" s="438">
        <f t="shared" ref="G15:P15" si="15">G37+G59+G81+G103+G125+G147+G169+G191+G213+G235+G257+G279+G301+G323</f>
        <v>0</v>
      </c>
      <c r="H15" s="438">
        <f t="shared" si="15"/>
        <v>0</v>
      </c>
      <c r="I15" s="438">
        <f t="shared" si="15"/>
        <v>0</v>
      </c>
      <c r="J15" s="438">
        <f t="shared" si="13"/>
        <v>0</v>
      </c>
      <c r="K15" s="438">
        <f t="shared" si="13"/>
        <v>0</v>
      </c>
      <c r="L15" s="438">
        <f t="shared" si="15"/>
        <v>0</v>
      </c>
      <c r="M15" s="438">
        <f t="shared" si="15"/>
        <v>0</v>
      </c>
      <c r="N15" s="438">
        <f t="shared" si="15"/>
        <v>0</v>
      </c>
      <c r="O15" s="438">
        <f t="shared" si="15"/>
        <v>0</v>
      </c>
      <c r="P15" s="439">
        <f t="shared" si="15"/>
        <v>0</v>
      </c>
      <c r="CI15" s="57" t="s">
        <v>105</v>
      </c>
      <c r="CJ15" s="477">
        <f t="shared" ref="CJ15:CV15" si="16">CJ81+CJ125+CJ37+CJ103+CJ147+CJ59</f>
        <v>0</v>
      </c>
      <c r="CK15" s="470">
        <f t="shared" si="16"/>
        <v>0</v>
      </c>
      <c r="CL15" s="471">
        <f t="shared" si="16"/>
        <v>0</v>
      </c>
      <c r="CM15" s="471">
        <f t="shared" si="16"/>
        <v>0</v>
      </c>
      <c r="CN15" s="471">
        <f t="shared" si="16"/>
        <v>0</v>
      </c>
      <c r="CO15" s="471">
        <f t="shared" si="16"/>
        <v>0</v>
      </c>
      <c r="CP15" s="471">
        <f t="shared" si="16"/>
        <v>0</v>
      </c>
      <c r="CQ15" s="471">
        <f t="shared" si="16"/>
        <v>0</v>
      </c>
      <c r="CR15" s="471">
        <f t="shared" si="16"/>
        <v>0</v>
      </c>
      <c r="CS15" s="471">
        <f t="shared" si="16"/>
        <v>0</v>
      </c>
      <c r="CT15" s="471">
        <f t="shared" si="16"/>
        <v>0</v>
      </c>
      <c r="CU15" s="471">
        <f t="shared" si="16"/>
        <v>0</v>
      </c>
      <c r="CV15" s="472">
        <f t="shared" si="16"/>
        <v>0</v>
      </c>
    </row>
    <row r="16" spans="2:100" x14ac:dyDescent="0.2">
      <c r="B16" s="57" t="s">
        <v>106</v>
      </c>
      <c r="C16" s="59"/>
      <c r="D16" s="510">
        <f t="shared" si="2"/>
        <v>0</v>
      </c>
      <c r="E16" s="511">
        <f t="shared" si="3"/>
        <v>0</v>
      </c>
      <c r="F16" s="438">
        <f t="shared" si="3"/>
        <v>0</v>
      </c>
      <c r="G16" s="438">
        <f t="shared" ref="G16:P16" si="17">G38+G60+G82+G104+G126+G148+G170+G192+G214+G236+G258+G280+G302+G324</f>
        <v>0</v>
      </c>
      <c r="H16" s="438">
        <f t="shared" si="17"/>
        <v>0</v>
      </c>
      <c r="I16" s="438">
        <f t="shared" si="17"/>
        <v>0</v>
      </c>
      <c r="J16" s="438">
        <f t="shared" si="13"/>
        <v>0</v>
      </c>
      <c r="K16" s="438">
        <f t="shared" si="13"/>
        <v>0</v>
      </c>
      <c r="L16" s="438">
        <f t="shared" si="17"/>
        <v>0</v>
      </c>
      <c r="M16" s="438">
        <f t="shared" si="17"/>
        <v>0</v>
      </c>
      <c r="N16" s="438">
        <f t="shared" si="17"/>
        <v>0</v>
      </c>
      <c r="O16" s="438">
        <f t="shared" si="17"/>
        <v>0</v>
      </c>
      <c r="P16" s="439">
        <f t="shared" si="17"/>
        <v>0</v>
      </c>
      <c r="CI16" s="57" t="s">
        <v>106</v>
      </c>
      <c r="CJ16" s="477">
        <f t="shared" ref="CJ16:CV16" si="18">CJ82+CJ126+CJ38+CJ104+CJ148+CJ60</f>
        <v>0</v>
      </c>
      <c r="CK16" s="470">
        <f t="shared" si="18"/>
        <v>0</v>
      </c>
      <c r="CL16" s="471">
        <f t="shared" si="18"/>
        <v>0</v>
      </c>
      <c r="CM16" s="471">
        <f t="shared" si="18"/>
        <v>0</v>
      </c>
      <c r="CN16" s="471">
        <f t="shared" si="18"/>
        <v>0</v>
      </c>
      <c r="CO16" s="471">
        <f t="shared" si="18"/>
        <v>0</v>
      </c>
      <c r="CP16" s="471">
        <f t="shared" si="18"/>
        <v>0</v>
      </c>
      <c r="CQ16" s="471">
        <f t="shared" si="18"/>
        <v>0</v>
      </c>
      <c r="CR16" s="471">
        <f t="shared" si="18"/>
        <v>0</v>
      </c>
      <c r="CS16" s="471">
        <f t="shared" si="18"/>
        <v>0</v>
      </c>
      <c r="CT16" s="471">
        <f t="shared" si="18"/>
        <v>0</v>
      </c>
      <c r="CU16" s="471">
        <f t="shared" si="18"/>
        <v>0</v>
      </c>
      <c r="CV16" s="472">
        <f t="shared" si="18"/>
        <v>0</v>
      </c>
    </row>
    <row r="17" spans="2:100" x14ac:dyDescent="0.2">
      <c r="B17" s="57" t="s">
        <v>37</v>
      </c>
      <c r="C17" s="59"/>
      <c r="D17" s="510">
        <f t="shared" si="2"/>
        <v>0</v>
      </c>
      <c r="E17" s="511">
        <f t="shared" ref="E17:P17" si="19">E39+E61+E83+E105+E127+E149+E171+E193+E215+E237+E259+E281+E303+E325</f>
        <v>0</v>
      </c>
      <c r="F17" s="438">
        <f t="shared" si="19"/>
        <v>0</v>
      </c>
      <c r="G17" s="438">
        <f t="shared" si="19"/>
        <v>0</v>
      </c>
      <c r="H17" s="438">
        <f t="shared" si="19"/>
        <v>0</v>
      </c>
      <c r="I17" s="438">
        <f t="shared" si="19"/>
        <v>0</v>
      </c>
      <c r="J17" s="438">
        <f t="shared" si="13"/>
        <v>0</v>
      </c>
      <c r="K17" s="438">
        <f t="shared" si="13"/>
        <v>0</v>
      </c>
      <c r="L17" s="438">
        <f t="shared" si="19"/>
        <v>0</v>
      </c>
      <c r="M17" s="438">
        <f t="shared" si="19"/>
        <v>0</v>
      </c>
      <c r="N17" s="438">
        <f t="shared" si="19"/>
        <v>0</v>
      </c>
      <c r="O17" s="438">
        <f t="shared" si="19"/>
        <v>0</v>
      </c>
      <c r="P17" s="439">
        <f t="shared" si="19"/>
        <v>0</v>
      </c>
      <c r="CI17" s="57" t="s">
        <v>37</v>
      </c>
      <c r="CJ17" s="477">
        <f t="shared" ref="CJ17:CV17" si="20">CJ83+CJ127+CJ39+CJ105+CJ149+CJ61</f>
        <v>0</v>
      </c>
      <c r="CK17" s="470">
        <f t="shared" si="20"/>
        <v>0</v>
      </c>
      <c r="CL17" s="471">
        <f t="shared" si="20"/>
        <v>0</v>
      </c>
      <c r="CM17" s="471">
        <f t="shared" si="20"/>
        <v>0</v>
      </c>
      <c r="CN17" s="471">
        <f t="shared" si="20"/>
        <v>0</v>
      </c>
      <c r="CO17" s="471">
        <f t="shared" si="20"/>
        <v>0</v>
      </c>
      <c r="CP17" s="471">
        <f t="shared" si="20"/>
        <v>0</v>
      </c>
      <c r="CQ17" s="471">
        <f t="shared" si="20"/>
        <v>0</v>
      </c>
      <c r="CR17" s="471">
        <f t="shared" si="20"/>
        <v>0</v>
      </c>
      <c r="CS17" s="471">
        <f t="shared" si="20"/>
        <v>0</v>
      </c>
      <c r="CT17" s="471">
        <f t="shared" si="20"/>
        <v>0</v>
      </c>
      <c r="CU17" s="471">
        <f t="shared" si="20"/>
        <v>0</v>
      </c>
      <c r="CV17" s="472">
        <f t="shared" si="20"/>
        <v>0</v>
      </c>
    </row>
    <row r="18" spans="2:100" x14ac:dyDescent="0.2">
      <c r="B18" s="57" t="s">
        <v>36</v>
      </c>
      <c r="C18" s="59"/>
      <c r="D18" s="510">
        <f>SUM(E18:P18)</f>
        <v>0</v>
      </c>
      <c r="E18" s="511">
        <f t="shared" ref="E18:P18" si="21">E40+E62+E84+E106+E128+E150+E172+E194+E216+E238+E260+E282+E304+E326</f>
        <v>0</v>
      </c>
      <c r="F18" s="438">
        <f t="shared" si="21"/>
        <v>0</v>
      </c>
      <c r="G18" s="438">
        <f t="shared" si="21"/>
        <v>0</v>
      </c>
      <c r="H18" s="438">
        <f t="shared" si="21"/>
        <v>0</v>
      </c>
      <c r="I18" s="438">
        <f t="shared" si="21"/>
        <v>0</v>
      </c>
      <c r="J18" s="438">
        <f t="shared" si="13"/>
        <v>0</v>
      </c>
      <c r="K18" s="438">
        <f t="shared" si="13"/>
        <v>0</v>
      </c>
      <c r="L18" s="438">
        <f t="shared" si="21"/>
        <v>0</v>
      </c>
      <c r="M18" s="438">
        <f t="shared" si="21"/>
        <v>0</v>
      </c>
      <c r="N18" s="438">
        <f t="shared" si="21"/>
        <v>0</v>
      </c>
      <c r="O18" s="438">
        <f t="shared" si="21"/>
        <v>0</v>
      </c>
      <c r="P18" s="439">
        <f t="shared" si="21"/>
        <v>0</v>
      </c>
      <c r="CI18" s="57" t="s">
        <v>36</v>
      </c>
      <c r="CJ18" s="477">
        <f t="shared" ref="CJ18:CV18" si="22">CJ84+CJ128+CJ40+CJ106+CJ150+CJ62</f>
        <v>0</v>
      </c>
      <c r="CK18" s="470">
        <f t="shared" si="22"/>
        <v>0</v>
      </c>
      <c r="CL18" s="471">
        <f t="shared" si="22"/>
        <v>0</v>
      </c>
      <c r="CM18" s="471">
        <f t="shared" si="22"/>
        <v>0</v>
      </c>
      <c r="CN18" s="471">
        <f t="shared" si="22"/>
        <v>0</v>
      </c>
      <c r="CO18" s="471">
        <f t="shared" si="22"/>
        <v>0</v>
      </c>
      <c r="CP18" s="471">
        <f t="shared" si="22"/>
        <v>0</v>
      </c>
      <c r="CQ18" s="471">
        <f t="shared" si="22"/>
        <v>0</v>
      </c>
      <c r="CR18" s="471">
        <f t="shared" si="22"/>
        <v>0</v>
      </c>
      <c r="CS18" s="471">
        <f t="shared" si="22"/>
        <v>0</v>
      </c>
      <c r="CT18" s="471">
        <f t="shared" si="22"/>
        <v>0</v>
      </c>
      <c r="CU18" s="471">
        <f t="shared" si="22"/>
        <v>0</v>
      </c>
      <c r="CV18" s="472">
        <f t="shared" si="22"/>
        <v>0</v>
      </c>
    </row>
    <row r="19" spans="2:100" x14ac:dyDescent="0.2">
      <c r="B19" s="57" t="s">
        <v>94</v>
      </c>
      <c r="C19" s="59"/>
      <c r="D19" s="510">
        <f t="shared" si="2"/>
        <v>0</v>
      </c>
      <c r="E19" s="511">
        <f t="shared" ref="E19:P19" si="23">E41+E63+E85+E107+E129+E151+E173+E195+E217+E239+E261+E283+E305+E327</f>
        <v>0</v>
      </c>
      <c r="F19" s="438">
        <f t="shared" si="23"/>
        <v>0</v>
      </c>
      <c r="G19" s="438">
        <f t="shared" si="23"/>
        <v>0</v>
      </c>
      <c r="H19" s="438">
        <f t="shared" si="23"/>
        <v>0</v>
      </c>
      <c r="I19" s="438">
        <f t="shared" si="23"/>
        <v>0</v>
      </c>
      <c r="J19" s="438">
        <f t="shared" si="13"/>
        <v>0</v>
      </c>
      <c r="K19" s="438">
        <f t="shared" si="13"/>
        <v>0</v>
      </c>
      <c r="L19" s="438">
        <f t="shared" si="23"/>
        <v>0</v>
      </c>
      <c r="M19" s="438">
        <f t="shared" si="23"/>
        <v>0</v>
      </c>
      <c r="N19" s="438">
        <f t="shared" si="23"/>
        <v>0</v>
      </c>
      <c r="O19" s="438">
        <f t="shared" si="23"/>
        <v>0</v>
      </c>
      <c r="P19" s="439">
        <f t="shared" si="23"/>
        <v>0</v>
      </c>
      <c r="CI19" s="57" t="s">
        <v>94</v>
      </c>
      <c r="CJ19" s="477">
        <f t="shared" ref="CJ19:CV19" si="24">CJ85+CJ129+CJ41+CJ107+CJ151+CJ63</f>
        <v>0</v>
      </c>
      <c r="CK19" s="470">
        <f t="shared" si="24"/>
        <v>0</v>
      </c>
      <c r="CL19" s="471">
        <f t="shared" si="24"/>
        <v>0</v>
      </c>
      <c r="CM19" s="471">
        <f t="shared" si="24"/>
        <v>0</v>
      </c>
      <c r="CN19" s="471">
        <f t="shared" si="24"/>
        <v>0</v>
      </c>
      <c r="CO19" s="471">
        <f t="shared" si="24"/>
        <v>0</v>
      </c>
      <c r="CP19" s="471">
        <f t="shared" si="24"/>
        <v>0</v>
      </c>
      <c r="CQ19" s="471">
        <f t="shared" si="24"/>
        <v>0</v>
      </c>
      <c r="CR19" s="471">
        <f t="shared" si="24"/>
        <v>0</v>
      </c>
      <c r="CS19" s="471">
        <f t="shared" si="24"/>
        <v>0</v>
      </c>
      <c r="CT19" s="471">
        <f t="shared" si="24"/>
        <v>0</v>
      </c>
      <c r="CU19" s="471">
        <f t="shared" si="24"/>
        <v>0</v>
      </c>
      <c r="CV19" s="472">
        <f t="shared" si="24"/>
        <v>0</v>
      </c>
    </row>
    <row r="20" spans="2:100" ht="13.5" thickBot="1" x14ac:dyDescent="0.25">
      <c r="B20" s="40" t="s">
        <v>93</v>
      </c>
      <c r="C20" s="56"/>
      <c r="D20" s="422">
        <f>SUM(E20:P20)</f>
        <v>0</v>
      </c>
      <c r="E20" s="511">
        <f t="shared" ref="E20:P20" si="25">E42+E64+E86+E108+E130+E152+E174+E196+E218+E240+E262+E284+E306+E328</f>
        <v>0</v>
      </c>
      <c r="F20" s="438">
        <f t="shared" si="25"/>
        <v>0</v>
      </c>
      <c r="G20" s="438">
        <f t="shared" si="25"/>
        <v>0</v>
      </c>
      <c r="H20" s="438">
        <f t="shared" si="25"/>
        <v>0</v>
      </c>
      <c r="I20" s="438">
        <f t="shared" si="25"/>
        <v>0</v>
      </c>
      <c r="J20" s="438">
        <f t="shared" si="13"/>
        <v>0</v>
      </c>
      <c r="K20" s="438">
        <f t="shared" si="13"/>
        <v>0</v>
      </c>
      <c r="L20" s="438">
        <f t="shared" si="25"/>
        <v>0</v>
      </c>
      <c r="M20" s="438">
        <f t="shared" si="25"/>
        <v>0</v>
      </c>
      <c r="N20" s="438">
        <f t="shared" si="25"/>
        <v>0</v>
      </c>
      <c r="O20" s="438">
        <f t="shared" si="25"/>
        <v>0</v>
      </c>
      <c r="P20" s="442">
        <f t="shared" si="25"/>
        <v>0</v>
      </c>
      <c r="CI20" s="40" t="s">
        <v>93</v>
      </c>
      <c r="CJ20" s="478">
        <f t="shared" ref="CJ20:CV20" si="26">CJ86+CJ130+CJ42+CJ108+CJ152+CJ64</f>
        <v>0</v>
      </c>
      <c r="CK20" s="473">
        <f t="shared" si="26"/>
        <v>0</v>
      </c>
      <c r="CL20" s="474">
        <f t="shared" si="26"/>
        <v>0</v>
      </c>
      <c r="CM20" s="474">
        <f t="shared" si="26"/>
        <v>0</v>
      </c>
      <c r="CN20" s="474">
        <f t="shared" si="26"/>
        <v>0</v>
      </c>
      <c r="CO20" s="474">
        <f t="shared" si="26"/>
        <v>0</v>
      </c>
      <c r="CP20" s="474">
        <f t="shared" si="26"/>
        <v>0</v>
      </c>
      <c r="CQ20" s="474">
        <f t="shared" si="26"/>
        <v>0</v>
      </c>
      <c r="CR20" s="474">
        <f t="shared" si="26"/>
        <v>0</v>
      </c>
      <c r="CS20" s="474">
        <f t="shared" si="26"/>
        <v>0</v>
      </c>
      <c r="CT20" s="474">
        <f t="shared" si="26"/>
        <v>0</v>
      </c>
      <c r="CU20" s="474">
        <f t="shared" si="26"/>
        <v>0</v>
      </c>
      <c r="CV20" s="475">
        <f t="shared" si="26"/>
        <v>0</v>
      </c>
    </row>
    <row r="21" spans="2:100" ht="13.5" thickBot="1" x14ac:dyDescent="0.25">
      <c r="B21" s="40" t="s">
        <v>107</v>
      </c>
      <c r="C21" s="56"/>
      <c r="D21" s="416">
        <f>D219+D263+D285+D43+D65+D87+D109+D241+D307+D329+D131+D153+D175+D197</f>
        <v>0</v>
      </c>
      <c r="E21" s="461">
        <f t="shared" ref="E21:P21" si="27">E219+E263+E285+E43+E65+E87+E109+E241+E307+E329+E131+E153+E175+E197</f>
        <v>0</v>
      </c>
      <c r="F21" s="431">
        <f t="shared" si="27"/>
        <v>0</v>
      </c>
      <c r="G21" s="453">
        <f t="shared" si="27"/>
        <v>0</v>
      </c>
      <c r="H21" s="453">
        <f t="shared" si="27"/>
        <v>0</v>
      </c>
      <c r="I21" s="453">
        <f>I219+I263+I285+I43+I65+I87+I109+I241+I307+I329+I131+I153+I175+I197</f>
        <v>0</v>
      </c>
      <c r="J21" s="453">
        <f t="shared" si="27"/>
        <v>0</v>
      </c>
      <c r="K21" s="453">
        <f t="shared" si="27"/>
        <v>0</v>
      </c>
      <c r="L21" s="453">
        <f t="shared" si="27"/>
        <v>0</v>
      </c>
      <c r="M21" s="453">
        <f t="shared" si="27"/>
        <v>0</v>
      </c>
      <c r="N21" s="453">
        <f t="shared" si="27"/>
        <v>0</v>
      </c>
      <c r="O21" s="453">
        <f t="shared" si="27"/>
        <v>0</v>
      </c>
      <c r="P21" s="453">
        <f t="shared" si="27"/>
        <v>0</v>
      </c>
      <c r="CI21" s="40" t="s">
        <v>107</v>
      </c>
      <c r="CJ21" s="479">
        <f t="shared" ref="CJ21:CV21" si="28">CJ87+CJ131+CJ43+CJ109+CJ153+CJ65</f>
        <v>0</v>
      </c>
      <c r="CK21" s="480">
        <f t="shared" si="28"/>
        <v>0</v>
      </c>
      <c r="CL21" s="481">
        <f t="shared" si="28"/>
        <v>0</v>
      </c>
      <c r="CM21" s="481">
        <f t="shared" si="28"/>
        <v>0</v>
      </c>
      <c r="CN21" s="481">
        <f>CN87+CN131+CN43+CN109+CN153+CN65</f>
        <v>0</v>
      </c>
      <c r="CO21" s="481">
        <f t="shared" si="28"/>
        <v>0</v>
      </c>
      <c r="CP21" s="481">
        <f t="shared" si="28"/>
        <v>0</v>
      </c>
      <c r="CQ21" s="481">
        <f t="shared" si="28"/>
        <v>0</v>
      </c>
      <c r="CR21" s="481">
        <f t="shared" si="28"/>
        <v>0</v>
      </c>
      <c r="CS21" s="481">
        <f t="shared" si="28"/>
        <v>0</v>
      </c>
      <c r="CT21" s="481">
        <f t="shared" si="28"/>
        <v>0</v>
      </c>
      <c r="CU21" s="481">
        <f t="shared" si="28"/>
        <v>0</v>
      </c>
      <c r="CV21" s="482">
        <f t="shared" si="28"/>
        <v>0</v>
      </c>
    </row>
    <row r="22" spans="2:100" ht="24" customHeight="1" thickBot="1" x14ac:dyDescent="0.25"/>
    <row r="23" spans="2:100" ht="22.5" customHeight="1" thickBot="1" x14ac:dyDescent="0.4">
      <c r="B23" s="735" t="str">
        <f>'2.1 Verkkopyynti'!D4</f>
        <v>Verkko1</v>
      </c>
      <c r="C23" s="736"/>
      <c r="D23" s="736" t="str">
        <f>'2.1 Verkkopyynti'!E4</f>
        <v xml:space="preserve"> Talvi avovesi</v>
      </c>
      <c r="E23" s="736"/>
      <c r="F23" s="736"/>
      <c r="G23" s="736"/>
      <c r="H23" s="736"/>
      <c r="I23" s="738"/>
      <c r="CI23" s="735" t="str">
        <f>T67</f>
        <v>Verkko1</v>
      </c>
      <c r="CJ23" s="736"/>
      <c r="CK23" s="736" t="s">
        <v>107</v>
      </c>
      <c r="CL23" s="377"/>
      <c r="CM23" s="377"/>
      <c r="CN23" s="377"/>
      <c r="CO23" s="377"/>
      <c r="CP23" s="734"/>
    </row>
    <row r="24" spans="2:100" ht="15" customHeight="1" thickBot="1" x14ac:dyDescent="0.4">
      <c r="B24" s="39"/>
      <c r="C24" s="39"/>
      <c r="D24" s="43"/>
      <c r="CI24" s="39"/>
      <c r="CJ24" s="39"/>
      <c r="CK24" s="43"/>
    </row>
    <row r="25" spans="2:100" ht="21.75" customHeight="1" thickBot="1" x14ac:dyDescent="0.4">
      <c r="B25" s="30" t="s">
        <v>39</v>
      </c>
      <c r="C25" s="446">
        <f>'2.1 Verkkopyynti'!G6</f>
        <v>0</v>
      </c>
      <c r="D25" s="8" t="s">
        <v>15</v>
      </c>
      <c r="E25" s="41"/>
      <c r="F25" s="42"/>
      <c r="G25" s="8" t="s">
        <v>5</v>
      </c>
      <c r="H25" s="10"/>
      <c r="I25" s="18"/>
      <c r="J25" s="18"/>
      <c r="K25" s="18"/>
      <c r="L25" s="10"/>
      <c r="CI25" s="30" t="s">
        <v>39</v>
      </c>
      <c r="CJ25" s="455">
        <f>U69</f>
        <v>0</v>
      </c>
      <c r="CK25" s="8" t="s">
        <v>15</v>
      </c>
      <c r="CL25" s="41"/>
      <c r="CM25" s="42"/>
      <c r="CN25" s="8" t="s">
        <v>5</v>
      </c>
      <c r="CO25" s="10"/>
      <c r="CP25" s="18"/>
      <c r="CQ25" s="18"/>
      <c r="CR25" s="18"/>
      <c r="CS25" s="10"/>
    </row>
    <row r="26" spans="2:100" ht="20.100000000000001" customHeight="1" thickBot="1" x14ac:dyDescent="0.25">
      <c r="B26" s="30" t="s">
        <v>2</v>
      </c>
      <c r="C26" s="1134" t="str">
        <f>IF(C25=0,"0",'2.1 Verkkopyynti'!E9)</f>
        <v>0</v>
      </c>
      <c r="D26" s="8" t="s">
        <v>4</v>
      </c>
      <c r="E26" s="10"/>
      <c r="F26" s="455">
        <f>'2.1 Verkkopyynti'!G10</f>
        <v>0</v>
      </c>
      <c r="G26" s="8" t="s">
        <v>6</v>
      </c>
      <c r="H26" s="18"/>
      <c r="I26" s="41"/>
      <c r="J26" s="18"/>
      <c r="K26" s="10"/>
      <c r="L26" s="455">
        <f>IF(C25=0,0,'2.1 Verkkopyynti'!E13)</f>
        <v>0</v>
      </c>
      <c r="BS26" s="34"/>
      <c r="CI26" s="30" t="s">
        <v>2</v>
      </c>
      <c r="CJ26" s="1134" t="str">
        <f>U70</f>
        <v>0</v>
      </c>
      <c r="CK26" s="8" t="s">
        <v>4</v>
      </c>
      <c r="CL26" s="10"/>
      <c r="CM26" s="455">
        <f>X70</f>
        <v>0</v>
      </c>
      <c r="CN26" s="8" t="s">
        <v>6</v>
      </c>
      <c r="CO26" s="18"/>
      <c r="CP26" s="41"/>
      <c r="CQ26" s="18"/>
      <c r="CR26" s="10"/>
      <c r="CS26" s="456">
        <f>AD70</f>
        <v>0</v>
      </c>
    </row>
    <row r="27" spans="2:100" ht="13.5" thickBot="1" x14ac:dyDescent="0.25">
      <c r="B27" s="30" t="s">
        <v>3</v>
      </c>
      <c r="C27" s="1134" t="str">
        <f>IF(C25=0,"0",'2.1 Verkkopyynti'!E10)</f>
        <v>0</v>
      </c>
      <c r="D27" s="8" t="s">
        <v>38</v>
      </c>
      <c r="E27" s="10"/>
      <c r="F27" s="456">
        <f>F26/30</f>
        <v>0</v>
      </c>
      <c r="G27" s="40" t="s">
        <v>26</v>
      </c>
      <c r="H27" s="14"/>
      <c r="I27" s="14"/>
      <c r="J27" s="14"/>
      <c r="K27" s="17"/>
      <c r="L27" s="457">
        <f>'2.1 Verkkopyynti'!E14</f>
        <v>0</v>
      </c>
      <c r="CI27" s="30" t="s">
        <v>3</v>
      </c>
      <c r="CJ27" s="1134" t="str">
        <f>U71</f>
        <v>0</v>
      </c>
      <c r="CK27" s="8" t="s">
        <v>38</v>
      </c>
      <c r="CL27" s="10"/>
      <c r="CM27" s="455">
        <f>X71</f>
        <v>0</v>
      </c>
      <c r="CN27" s="40" t="s">
        <v>26</v>
      </c>
      <c r="CO27" s="14"/>
      <c r="CP27" s="14"/>
      <c r="CQ27" s="14"/>
      <c r="CR27" s="17"/>
      <c r="CS27" s="455">
        <f>AD71</f>
        <v>0</v>
      </c>
    </row>
    <row r="28" spans="2:100" ht="13.5" thickBot="1" x14ac:dyDescent="0.25">
      <c r="B28" s="34"/>
      <c r="C28" s="34"/>
      <c r="CI28" s="34"/>
      <c r="CJ28" s="34"/>
      <c r="CK28" s="45"/>
      <c r="CL28" s="34"/>
      <c r="CN28" s="46"/>
      <c r="CO28" s="34"/>
      <c r="CT28" s="34"/>
    </row>
    <row r="29" spans="2:100" ht="13.5" thickBot="1" x14ac:dyDescent="0.25">
      <c r="B29" s="5" t="s">
        <v>73</v>
      </c>
      <c r="C29" s="51" t="s">
        <v>46</v>
      </c>
      <c r="D29" s="81" t="s">
        <v>40</v>
      </c>
      <c r="E29" s="47"/>
      <c r="F29" s="48"/>
      <c r="G29" s="48"/>
      <c r="H29" s="48"/>
      <c r="I29" s="48"/>
      <c r="J29" s="41" t="s">
        <v>42</v>
      </c>
      <c r="K29" s="48"/>
      <c r="L29" s="48"/>
      <c r="M29" s="48"/>
      <c r="N29" s="48"/>
      <c r="O29" s="48"/>
      <c r="P29" s="49"/>
      <c r="CI29" s="5" t="s">
        <v>73</v>
      </c>
      <c r="CJ29" s="51" t="s">
        <v>40</v>
      </c>
      <c r="CK29" s="47"/>
      <c r="CL29" s="48"/>
      <c r="CM29" s="48"/>
      <c r="CN29" s="48"/>
      <c r="CO29" s="48"/>
      <c r="CP29" s="41" t="s">
        <v>42</v>
      </c>
      <c r="CQ29" s="48"/>
      <c r="CR29" s="48"/>
      <c r="CS29" s="48"/>
      <c r="CT29" s="48"/>
      <c r="CU29" s="48"/>
      <c r="CV29" s="49"/>
    </row>
    <row r="30" spans="2:100" ht="13.5" thickBot="1" x14ac:dyDescent="0.25">
      <c r="B30" s="28"/>
      <c r="C30" s="69" t="s">
        <v>47</v>
      </c>
      <c r="D30" s="29" t="s">
        <v>41</v>
      </c>
      <c r="E30" s="80">
        <v>1</v>
      </c>
      <c r="F30" s="33">
        <v>2</v>
      </c>
      <c r="G30" s="33">
        <v>3</v>
      </c>
      <c r="H30" s="33">
        <v>4</v>
      </c>
      <c r="I30" s="33">
        <v>5</v>
      </c>
      <c r="J30" s="33">
        <v>6</v>
      </c>
      <c r="K30" s="33">
        <v>7</v>
      </c>
      <c r="L30" s="33">
        <v>8</v>
      </c>
      <c r="M30" s="33">
        <v>9</v>
      </c>
      <c r="N30" s="33">
        <v>10</v>
      </c>
      <c r="O30" s="33">
        <v>11</v>
      </c>
      <c r="P30" s="79">
        <v>12</v>
      </c>
      <c r="CI30" s="57"/>
      <c r="CJ30" s="69" t="s">
        <v>41</v>
      </c>
      <c r="CK30" s="72">
        <v>1</v>
      </c>
      <c r="CL30" s="70">
        <v>2</v>
      </c>
      <c r="CM30" s="70">
        <v>3</v>
      </c>
      <c r="CN30" s="70">
        <v>4</v>
      </c>
      <c r="CO30" s="70">
        <v>5</v>
      </c>
      <c r="CP30" s="70">
        <v>6</v>
      </c>
      <c r="CQ30" s="70">
        <v>7</v>
      </c>
      <c r="CR30" s="70">
        <v>8</v>
      </c>
      <c r="CS30" s="70">
        <v>9</v>
      </c>
      <c r="CT30" s="70">
        <v>10</v>
      </c>
      <c r="CU30" s="70">
        <v>11</v>
      </c>
      <c r="CV30" s="71">
        <v>12</v>
      </c>
    </row>
    <row r="31" spans="2:100" x14ac:dyDescent="0.2">
      <c r="B31" s="5" t="s">
        <v>100</v>
      </c>
      <c r="C31" s="544">
        <f t="shared" ref="C31:C43" si="29">IF(D31=0,0,D31/$L$27)</f>
        <v>0</v>
      </c>
      <c r="D31" s="449">
        <f>IF(C25=0,0,SUM(E31:P31))</f>
        <v>0</v>
      </c>
      <c r="E31" s="1455"/>
      <c r="F31" s="1456"/>
      <c r="G31" s="1456"/>
      <c r="H31" s="1456"/>
      <c r="I31" s="1456"/>
      <c r="J31" s="1456"/>
      <c r="K31" s="1456"/>
      <c r="L31" s="1456"/>
      <c r="M31" s="1456"/>
      <c r="N31" s="1456"/>
      <c r="O31" s="1456"/>
      <c r="P31" s="1457"/>
      <c r="CI31" s="5" t="s">
        <v>100</v>
      </c>
      <c r="CJ31" s="476">
        <f t="shared" ref="CJ31:CJ43" si="30">IF(D9=0,0,(D31+D53+D75+D97)/D9)</f>
        <v>0</v>
      </c>
      <c r="CK31" s="467">
        <f t="shared" ref="CK31:CK42" si="31">IF(E9=0,0,(E31+E53+E75+E97)/E9)</f>
        <v>0</v>
      </c>
      <c r="CL31" s="468">
        <f>IF(F9=0,0,(F31+F53+F75+F97)/F9)</f>
        <v>0</v>
      </c>
      <c r="CM31" s="468">
        <f t="shared" ref="CM31:CM43" si="32">IF(G9=0,0,(G31+G53+G75+G97)/G9)</f>
        <v>0</v>
      </c>
      <c r="CN31" s="468">
        <f t="shared" ref="CN31:CN43" si="33">IF(H9=0,0,(H31+H53+H75+H97)/H9)</f>
        <v>0</v>
      </c>
      <c r="CO31" s="468">
        <f t="shared" ref="CO31:CO43" si="34">IF(I9=0,0,(I31+I53+I75+I97)/I9)</f>
        <v>0</v>
      </c>
      <c r="CP31" s="468">
        <f t="shared" ref="CP31:CP43" si="35">IF(J9=0,0,(J31+J53+J75+J97)/J9)</f>
        <v>0</v>
      </c>
      <c r="CQ31" s="468">
        <f t="shared" ref="CQ31:CQ43" si="36">IF(K9=0,0,(K31+K53+K75+K97)/K9)</f>
        <v>0</v>
      </c>
      <c r="CR31" s="468">
        <f t="shared" ref="CR31:CR43" si="37">IF(L9=0,0,(L31+L53+L75+L97)/L9)</f>
        <v>0</v>
      </c>
      <c r="CS31" s="468">
        <f t="shared" ref="CS31:CS43" si="38">IF(M9=0,0,(M31+M53+M75+M97)/M9)</f>
        <v>0</v>
      </c>
      <c r="CT31" s="468">
        <f t="shared" ref="CT31:CT43" si="39">IF(N9=0,0,(N31+N53+N75+N97)/N9)</f>
        <v>0</v>
      </c>
      <c r="CU31" s="468">
        <f t="shared" ref="CU31:CU43" si="40">IF(O9=0,0,(O31+O53+O75+O97)/O9)</f>
        <v>0</v>
      </c>
      <c r="CV31" s="469">
        <f t="shared" ref="CV31:CV43" si="41">IF(P9=0,0,(P31+P53+P75+P97)/P9)</f>
        <v>0</v>
      </c>
    </row>
    <row r="32" spans="2:100" x14ac:dyDescent="0.2">
      <c r="B32" s="57" t="s">
        <v>108</v>
      </c>
      <c r="C32" s="501">
        <f t="shared" si="29"/>
        <v>0</v>
      </c>
      <c r="D32" s="450">
        <f>IF(C25=0,0,SUM(E32:P32))</f>
        <v>0</v>
      </c>
      <c r="E32" s="1458"/>
      <c r="F32" s="1459"/>
      <c r="G32" s="1459"/>
      <c r="H32" s="1459"/>
      <c r="I32" s="1459"/>
      <c r="J32" s="1459"/>
      <c r="K32" s="1459"/>
      <c r="L32" s="1459"/>
      <c r="M32" s="1459"/>
      <c r="N32" s="1459"/>
      <c r="O32" s="1459"/>
      <c r="P32" s="1460"/>
      <c r="CI32" s="57" t="s">
        <v>108</v>
      </c>
      <c r="CJ32" s="477">
        <f t="shared" si="30"/>
        <v>0</v>
      </c>
      <c r="CK32" s="470">
        <f t="shared" si="31"/>
        <v>0</v>
      </c>
      <c r="CL32" s="471">
        <f t="shared" ref="CL32:CL38" si="42">IF(F10=0,0,(F32+F54+F76+F98)/F10)</f>
        <v>0</v>
      </c>
      <c r="CM32" s="471">
        <f t="shared" si="32"/>
        <v>0</v>
      </c>
      <c r="CN32" s="471">
        <f t="shared" si="33"/>
        <v>0</v>
      </c>
      <c r="CO32" s="471">
        <f t="shared" si="34"/>
        <v>0</v>
      </c>
      <c r="CP32" s="471">
        <f t="shared" si="35"/>
        <v>0</v>
      </c>
      <c r="CQ32" s="471">
        <f t="shared" si="36"/>
        <v>0</v>
      </c>
      <c r="CR32" s="471">
        <f t="shared" si="37"/>
        <v>0</v>
      </c>
      <c r="CS32" s="471">
        <f t="shared" si="38"/>
        <v>0</v>
      </c>
      <c r="CT32" s="471">
        <f t="shared" si="39"/>
        <v>0</v>
      </c>
      <c r="CU32" s="471">
        <f t="shared" si="40"/>
        <v>0</v>
      </c>
      <c r="CV32" s="472">
        <f t="shared" si="41"/>
        <v>0</v>
      </c>
    </row>
    <row r="33" spans="2:100" x14ac:dyDescent="0.2">
      <c r="B33" s="57" t="s">
        <v>101</v>
      </c>
      <c r="C33" s="450">
        <f t="shared" si="29"/>
        <v>0</v>
      </c>
      <c r="D33" s="439">
        <f>IF(C25=0,0,SUM(E33:P33))</f>
        <v>0</v>
      </c>
      <c r="E33" s="1458"/>
      <c r="F33" s="1459"/>
      <c r="G33" s="1459"/>
      <c r="H33" s="1459"/>
      <c r="I33" s="1459"/>
      <c r="J33" s="1459"/>
      <c r="K33" s="1459"/>
      <c r="L33" s="1459"/>
      <c r="M33" s="1459"/>
      <c r="N33" s="1459"/>
      <c r="O33" s="1459"/>
      <c r="P33" s="1460"/>
      <c r="CI33" s="57" t="s">
        <v>101</v>
      </c>
      <c r="CJ33" s="477">
        <f t="shared" si="30"/>
        <v>0</v>
      </c>
      <c r="CK33" s="470">
        <f t="shared" si="31"/>
        <v>0</v>
      </c>
      <c r="CL33" s="471">
        <f t="shared" si="42"/>
        <v>0</v>
      </c>
      <c r="CM33" s="471">
        <f t="shared" si="32"/>
        <v>0</v>
      </c>
      <c r="CN33" s="471">
        <f t="shared" si="33"/>
        <v>0</v>
      </c>
      <c r="CO33" s="471">
        <f t="shared" si="34"/>
        <v>0</v>
      </c>
      <c r="CP33" s="471">
        <f t="shared" si="35"/>
        <v>0</v>
      </c>
      <c r="CQ33" s="471">
        <f t="shared" si="36"/>
        <v>0</v>
      </c>
      <c r="CR33" s="471">
        <f t="shared" si="37"/>
        <v>0</v>
      </c>
      <c r="CS33" s="471">
        <f t="shared" si="38"/>
        <v>0</v>
      </c>
      <c r="CT33" s="471">
        <f t="shared" si="39"/>
        <v>0</v>
      </c>
      <c r="CU33" s="471">
        <f t="shared" si="40"/>
        <v>0</v>
      </c>
      <c r="CV33" s="472">
        <f t="shared" si="41"/>
        <v>0</v>
      </c>
    </row>
    <row r="34" spans="2:100" x14ac:dyDescent="0.2">
      <c r="B34" s="57" t="s">
        <v>102</v>
      </c>
      <c r="C34" s="450">
        <f t="shared" si="29"/>
        <v>0</v>
      </c>
      <c r="D34" s="439">
        <f>IF(C25=0,0,SUM(E34:P34))</f>
        <v>0</v>
      </c>
      <c r="E34" s="1461"/>
      <c r="F34" s="1462"/>
      <c r="G34" s="1462"/>
      <c r="H34" s="1462"/>
      <c r="I34" s="1462"/>
      <c r="J34" s="1462"/>
      <c r="K34" s="1462"/>
      <c r="L34" s="1462"/>
      <c r="M34" s="1462"/>
      <c r="N34" s="1462"/>
      <c r="O34" s="1462"/>
      <c r="P34" s="1463"/>
      <c r="CI34" s="57" t="s">
        <v>102</v>
      </c>
      <c r="CJ34" s="477">
        <f t="shared" si="30"/>
        <v>0</v>
      </c>
      <c r="CK34" s="470">
        <f t="shared" si="31"/>
        <v>0</v>
      </c>
      <c r="CL34" s="471">
        <f t="shared" si="42"/>
        <v>0</v>
      </c>
      <c r="CM34" s="471">
        <f t="shared" si="32"/>
        <v>0</v>
      </c>
      <c r="CN34" s="471">
        <f t="shared" si="33"/>
        <v>0</v>
      </c>
      <c r="CO34" s="471">
        <f t="shared" si="34"/>
        <v>0</v>
      </c>
      <c r="CP34" s="471">
        <f t="shared" si="35"/>
        <v>0</v>
      </c>
      <c r="CQ34" s="471">
        <f t="shared" si="36"/>
        <v>0</v>
      </c>
      <c r="CR34" s="471">
        <f t="shared" si="37"/>
        <v>0</v>
      </c>
      <c r="CS34" s="471">
        <f t="shared" si="38"/>
        <v>0</v>
      </c>
      <c r="CT34" s="471">
        <f t="shared" si="39"/>
        <v>0</v>
      </c>
      <c r="CU34" s="471">
        <f t="shared" si="40"/>
        <v>0</v>
      </c>
      <c r="CV34" s="472">
        <f t="shared" si="41"/>
        <v>0</v>
      </c>
    </row>
    <row r="35" spans="2:100" x14ac:dyDescent="0.2">
      <c r="B35" s="57" t="s">
        <v>103</v>
      </c>
      <c r="C35" s="450">
        <f t="shared" si="29"/>
        <v>0</v>
      </c>
      <c r="D35" s="439">
        <f>IF(C25=0,0,SUM(E35:P35))</f>
        <v>0</v>
      </c>
      <c r="E35" s="1461"/>
      <c r="F35" s="1462"/>
      <c r="G35" s="1462"/>
      <c r="H35" s="1462"/>
      <c r="I35" s="1462"/>
      <c r="J35" s="1462"/>
      <c r="K35" s="1462"/>
      <c r="L35" s="1462"/>
      <c r="M35" s="1462"/>
      <c r="N35" s="1462"/>
      <c r="O35" s="1462"/>
      <c r="P35" s="1463"/>
      <c r="CI35" s="57" t="s">
        <v>103</v>
      </c>
      <c r="CJ35" s="477">
        <f t="shared" si="30"/>
        <v>0</v>
      </c>
      <c r="CK35" s="470">
        <f t="shared" si="31"/>
        <v>0</v>
      </c>
      <c r="CL35" s="471">
        <f t="shared" si="42"/>
        <v>0</v>
      </c>
      <c r="CM35" s="471">
        <f t="shared" si="32"/>
        <v>0</v>
      </c>
      <c r="CN35" s="471">
        <f t="shared" si="33"/>
        <v>0</v>
      </c>
      <c r="CO35" s="471">
        <f t="shared" si="34"/>
        <v>0</v>
      </c>
      <c r="CP35" s="471">
        <f t="shared" si="35"/>
        <v>0</v>
      </c>
      <c r="CQ35" s="471">
        <f t="shared" si="36"/>
        <v>0</v>
      </c>
      <c r="CR35" s="471">
        <f t="shared" si="37"/>
        <v>0</v>
      </c>
      <c r="CS35" s="471">
        <f t="shared" si="38"/>
        <v>0</v>
      </c>
      <c r="CT35" s="471">
        <f t="shared" si="39"/>
        <v>0</v>
      </c>
      <c r="CU35" s="471">
        <f t="shared" si="40"/>
        <v>0</v>
      </c>
      <c r="CV35" s="472">
        <f t="shared" si="41"/>
        <v>0</v>
      </c>
    </row>
    <row r="36" spans="2:100" x14ac:dyDescent="0.2">
      <c r="B36" s="57" t="s">
        <v>104</v>
      </c>
      <c r="C36" s="450">
        <f t="shared" si="29"/>
        <v>0</v>
      </c>
      <c r="D36" s="439">
        <f>IF(C25=0,0,SUM(E36:P36))</f>
        <v>0</v>
      </c>
      <c r="E36" s="1461"/>
      <c r="F36" s="1462"/>
      <c r="G36" s="1462"/>
      <c r="H36" s="1462"/>
      <c r="I36" s="1462"/>
      <c r="J36" s="1462"/>
      <c r="K36" s="1462"/>
      <c r="L36" s="1462"/>
      <c r="M36" s="1462"/>
      <c r="N36" s="1462"/>
      <c r="O36" s="1462"/>
      <c r="P36" s="1463"/>
      <c r="CI36" s="57" t="s">
        <v>104</v>
      </c>
      <c r="CJ36" s="477">
        <f t="shared" si="30"/>
        <v>0</v>
      </c>
      <c r="CK36" s="470">
        <f t="shared" si="31"/>
        <v>0</v>
      </c>
      <c r="CL36" s="471">
        <f t="shared" si="42"/>
        <v>0</v>
      </c>
      <c r="CM36" s="471">
        <f t="shared" si="32"/>
        <v>0</v>
      </c>
      <c r="CN36" s="471">
        <f t="shared" si="33"/>
        <v>0</v>
      </c>
      <c r="CO36" s="471">
        <f t="shared" si="34"/>
        <v>0</v>
      </c>
      <c r="CP36" s="471">
        <f t="shared" ref="CP36:CQ42" si="43">IF(J14=0,0,(J36+J58+J80+J102)/J14)</f>
        <v>0</v>
      </c>
      <c r="CQ36" s="471">
        <f t="shared" si="43"/>
        <v>0</v>
      </c>
      <c r="CR36" s="471">
        <f t="shared" si="37"/>
        <v>0</v>
      </c>
      <c r="CS36" s="471">
        <f t="shared" si="38"/>
        <v>0</v>
      </c>
      <c r="CT36" s="471">
        <f t="shared" si="39"/>
        <v>0</v>
      </c>
      <c r="CU36" s="471">
        <f t="shared" si="40"/>
        <v>0</v>
      </c>
      <c r="CV36" s="472">
        <f t="shared" si="41"/>
        <v>0</v>
      </c>
    </row>
    <row r="37" spans="2:100" x14ac:dyDescent="0.2">
      <c r="B37" s="57" t="s">
        <v>105</v>
      </c>
      <c r="C37" s="450">
        <f t="shared" si="29"/>
        <v>0</v>
      </c>
      <c r="D37" s="439">
        <f>IF(C25=0,0,SUM(E37:P37))</f>
        <v>0</v>
      </c>
      <c r="E37" s="1461"/>
      <c r="F37" s="1462"/>
      <c r="G37" s="1462"/>
      <c r="H37" s="1462"/>
      <c r="I37" s="1462"/>
      <c r="J37" s="1462"/>
      <c r="K37" s="1462"/>
      <c r="L37" s="1462"/>
      <c r="M37" s="1462"/>
      <c r="N37" s="1462"/>
      <c r="O37" s="1462"/>
      <c r="P37" s="1463"/>
      <c r="CI37" s="57" t="s">
        <v>105</v>
      </c>
      <c r="CJ37" s="477">
        <f t="shared" si="30"/>
        <v>0</v>
      </c>
      <c r="CK37" s="470">
        <f t="shared" si="31"/>
        <v>0</v>
      </c>
      <c r="CL37" s="471">
        <f t="shared" si="42"/>
        <v>0</v>
      </c>
      <c r="CM37" s="471">
        <f t="shared" si="32"/>
        <v>0</v>
      </c>
      <c r="CN37" s="471">
        <f t="shared" si="33"/>
        <v>0</v>
      </c>
      <c r="CO37" s="471">
        <f t="shared" si="34"/>
        <v>0</v>
      </c>
      <c r="CP37" s="471">
        <f t="shared" si="43"/>
        <v>0</v>
      </c>
      <c r="CQ37" s="471">
        <f t="shared" si="43"/>
        <v>0</v>
      </c>
      <c r="CR37" s="471">
        <f t="shared" si="37"/>
        <v>0</v>
      </c>
      <c r="CS37" s="471">
        <f t="shared" si="38"/>
        <v>0</v>
      </c>
      <c r="CT37" s="471">
        <f t="shared" si="39"/>
        <v>0</v>
      </c>
      <c r="CU37" s="471">
        <f t="shared" si="40"/>
        <v>0</v>
      </c>
      <c r="CV37" s="472">
        <f t="shared" si="41"/>
        <v>0</v>
      </c>
    </row>
    <row r="38" spans="2:100" x14ac:dyDescent="0.2">
      <c r="B38" s="57" t="s">
        <v>106</v>
      </c>
      <c r="C38" s="450">
        <f t="shared" si="29"/>
        <v>0</v>
      </c>
      <c r="D38" s="439">
        <f>IF(C25=0,0,SUM(E38:P38))</f>
        <v>0</v>
      </c>
      <c r="E38" s="1461"/>
      <c r="F38" s="1462"/>
      <c r="G38" s="1462"/>
      <c r="H38" s="1462"/>
      <c r="I38" s="1462"/>
      <c r="J38" s="1462"/>
      <c r="K38" s="1462"/>
      <c r="L38" s="1462"/>
      <c r="M38" s="1462"/>
      <c r="N38" s="1462"/>
      <c r="O38" s="1462"/>
      <c r="P38" s="1463"/>
      <c r="CI38" s="57" t="s">
        <v>106</v>
      </c>
      <c r="CJ38" s="477">
        <f t="shared" si="30"/>
        <v>0</v>
      </c>
      <c r="CK38" s="470">
        <f t="shared" si="31"/>
        <v>0</v>
      </c>
      <c r="CL38" s="471">
        <f t="shared" si="42"/>
        <v>0</v>
      </c>
      <c r="CM38" s="471">
        <f t="shared" si="32"/>
        <v>0</v>
      </c>
      <c r="CN38" s="471">
        <f t="shared" si="33"/>
        <v>0</v>
      </c>
      <c r="CO38" s="471">
        <f t="shared" si="34"/>
        <v>0</v>
      </c>
      <c r="CP38" s="471">
        <f t="shared" si="43"/>
        <v>0</v>
      </c>
      <c r="CQ38" s="471">
        <f t="shared" si="43"/>
        <v>0</v>
      </c>
      <c r="CR38" s="471">
        <f t="shared" si="37"/>
        <v>0</v>
      </c>
      <c r="CS38" s="471">
        <f t="shared" si="38"/>
        <v>0</v>
      </c>
      <c r="CT38" s="471">
        <f t="shared" si="39"/>
        <v>0</v>
      </c>
      <c r="CU38" s="471">
        <f t="shared" si="40"/>
        <v>0</v>
      </c>
      <c r="CV38" s="472">
        <f t="shared" si="41"/>
        <v>0</v>
      </c>
    </row>
    <row r="39" spans="2:100" x14ac:dyDescent="0.2">
      <c r="B39" s="57" t="s">
        <v>37</v>
      </c>
      <c r="C39" s="450">
        <f t="shared" si="29"/>
        <v>0</v>
      </c>
      <c r="D39" s="439">
        <f>IF(C25=0,0,SUM(E39:P39))</f>
        <v>0</v>
      </c>
      <c r="E39" s="1461"/>
      <c r="F39" s="1462"/>
      <c r="G39" s="1462"/>
      <c r="H39" s="1462"/>
      <c r="I39" s="1462"/>
      <c r="J39" s="1462"/>
      <c r="K39" s="1462"/>
      <c r="L39" s="1462"/>
      <c r="M39" s="1462"/>
      <c r="N39" s="1462"/>
      <c r="O39" s="1462"/>
      <c r="P39" s="1463"/>
      <c r="CI39" s="57" t="s">
        <v>37</v>
      </c>
      <c r="CJ39" s="477">
        <f t="shared" si="30"/>
        <v>0</v>
      </c>
      <c r="CK39" s="470">
        <f t="shared" si="31"/>
        <v>0</v>
      </c>
      <c r="CL39" s="471">
        <f>IF(F17=0,0,(F39+F61+F83+F105)/F17)</f>
        <v>0</v>
      </c>
      <c r="CM39" s="471">
        <f t="shared" si="32"/>
        <v>0</v>
      </c>
      <c r="CN39" s="471">
        <f t="shared" si="33"/>
        <v>0</v>
      </c>
      <c r="CO39" s="471">
        <f t="shared" si="34"/>
        <v>0</v>
      </c>
      <c r="CP39" s="471">
        <f t="shared" si="43"/>
        <v>0</v>
      </c>
      <c r="CQ39" s="471">
        <f t="shared" si="43"/>
        <v>0</v>
      </c>
      <c r="CR39" s="471">
        <f t="shared" si="37"/>
        <v>0</v>
      </c>
      <c r="CS39" s="471">
        <f t="shared" si="38"/>
        <v>0</v>
      </c>
      <c r="CT39" s="471">
        <f t="shared" si="39"/>
        <v>0</v>
      </c>
      <c r="CU39" s="471">
        <f t="shared" si="40"/>
        <v>0</v>
      </c>
      <c r="CV39" s="472">
        <f t="shared" si="41"/>
        <v>0</v>
      </c>
    </row>
    <row r="40" spans="2:100" x14ac:dyDescent="0.2">
      <c r="B40" s="57" t="s">
        <v>36</v>
      </c>
      <c r="C40" s="450">
        <f t="shared" si="29"/>
        <v>0</v>
      </c>
      <c r="D40" s="439">
        <f>IF(C25=0,0,SUM(E40:P40))</f>
        <v>0</v>
      </c>
      <c r="E40" s="1464"/>
      <c r="F40" s="1465"/>
      <c r="G40" s="1465"/>
      <c r="H40" s="1465"/>
      <c r="I40" s="1465"/>
      <c r="J40" s="1465"/>
      <c r="K40" s="1465"/>
      <c r="L40" s="1465"/>
      <c r="M40" s="1465"/>
      <c r="N40" s="1465"/>
      <c r="O40" s="1465"/>
      <c r="P40" s="1466"/>
      <c r="CI40" s="57" t="s">
        <v>36</v>
      </c>
      <c r="CJ40" s="477">
        <f t="shared" si="30"/>
        <v>0</v>
      </c>
      <c r="CK40" s="470">
        <f t="shared" si="31"/>
        <v>0</v>
      </c>
      <c r="CL40" s="471">
        <f>IF(F18=0,0,(F40+F62+F84+F106)/F18)</f>
        <v>0</v>
      </c>
      <c r="CM40" s="471">
        <f t="shared" si="32"/>
        <v>0</v>
      </c>
      <c r="CN40" s="471">
        <f t="shared" si="33"/>
        <v>0</v>
      </c>
      <c r="CO40" s="471">
        <f t="shared" si="34"/>
        <v>0</v>
      </c>
      <c r="CP40" s="471">
        <f t="shared" si="43"/>
        <v>0</v>
      </c>
      <c r="CQ40" s="471">
        <f t="shared" si="43"/>
        <v>0</v>
      </c>
      <c r="CR40" s="471">
        <f t="shared" si="37"/>
        <v>0</v>
      </c>
      <c r="CS40" s="471">
        <f t="shared" si="38"/>
        <v>0</v>
      </c>
      <c r="CT40" s="471">
        <f t="shared" si="39"/>
        <v>0</v>
      </c>
      <c r="CU40" s="471">
        <f t="shared" si="40"/>
        <v>0</v>
      </c>
      <c r="CV40" s="472">
        <f t="shared" si="41"/>
        <v>0</v>
      </c>
    </row>
    <row r="41" spans="2:100" x14ac:dyDescent="0.2">
      <c r="B41" s="57" t="s">
        <v>94</v>
      </c>
      <c r="C41" s="450">
        <f t="shared" si="29"/>
        <v>0</v>
      </c>
      <c r="D41" s="486">
        <f>IF(C25=0,0,SUM(E41:P41))</f>
        <v>0</v>
      </c>
      <c r="E41" s="1464"/>
      <c r="F41" s="1465"/>
      <c r="G41" s="1465"/>
      <c r="H41" s="1465"/>
      <c r="I41" s="1465"/>
      <c r="J41" s="1465"/>
      <c r="K41" s="1465"/>
      <c r="L41" s="1465"/>
      <c r="M41" s="1465"/>
      <c r="N41" s="1465"/>
      <c r="O41" s="1465"/>
      <c r="P41" s="1466"/>
      <c r="CI41" s="57" t="s">
        <v>94</v>
      </c>
      <c r="CJ41" s="477">
        <f t="shared" si="30"/>
        <v>0</v>
      </c>
      <c r="CK41" s="470">
        <f t="shared" si="31"/>
        <v>0</v>
      </c>
      <c r="CL41" s="471">
        <f>IF(F19=0,0,(F41+F63+F85+F107)/F19)</f>
        <v>0</v>
      </c>
      <c r="CM41" s="471">
        <f t="shared" si="32"/>
        <v>0</v>
      </c>
      <c r="CN41" s="471">
        <f t="shared" si="33"/>
        <v>0</v>
      </c>
      <c r="CO41" s="471">
        <f t="shared" si="34"/>
        <v>0</v>
      </c>
      <c r="CP41" s="471">
        <f t="shared" si="43"/>
        <v>0</v>
      </c>
      <c r="CQ41" s="471">
        <f t="shared" si="43"/>
        <v>0</v>
      </c>
      <c r="CR41" s="471">
        <f t="shared" si="37"/>
        <v>0</v>
      </c>
      <c r="CS41" s="471">
        <f t="shared" si="38"/>
        <v>0</v>
      </c>
      <c r="CT41" s="471">
        <f t="shared" si="39"/>
        <v>0</v>
      </c>
      <c r="CU41" s="471">
        <f t="shared" si="40"/>
        <v>0</v>
      </c>
      <c r="CV41" s="472">
        <f t="shared" si="41"/>
        <v>0</v>
      </c>
    </row>
    <row r="42" spans="2:100" ht="13.5" thickBot="1" x14ac:dyDescent="0.25">
      <c r="B42" s="40" t="s">
        <v>93</v>
      </c>
      <c r="C42" s="498">
        <f t="shared" si="29"/>
        <v>0</v>
      </c>
      <c r="D42" s="512">
        <f>IF(C25=0,0,SUM(E42:P42))</f>
        <v>0</v>
      </c>
      <c r="E42" s="1464"/>
      <c r="F42" s="1465"/>
      <c r="G42" s="1465"/>
      <c r="H42" s="1465"/>
      <c r="I42" s="1465"/>
      <c r="J42" s="1465"/>
      <c r="K42" s="1465"/>
      <c r="L42" s="1465"/>
      <c r="M42" s="1465"/>
      <c r="N42" s="1465"/>
      <c r="O42" s="1465"/>
      <c r="P42" s="1466"/>
      <c r="CI42" s="40" t="s">
        <v>93</v>
      </c>
      <c r="CJ42" s="478">
        <f t="shared" si="30"/>
        <v>0</v>
      </c>
      <c r="CK42" s="473">
        <f t="shared" si="31"/>
        <v>0</v>
      </c>
      <c r="CL42" s="474">
        <f>IF(F20=0,0,(F42+F64+F86+F108)/F20)</f>
        <v>0</v>
      </c>
      <c r="CM42" s="474">
        <f t="shared" si="32"/>
        <v>0</v>
      </c>
      <c r="CN42" s="474">
        <f t="shared" si="33"/>
        <v>0</v>
      </c>
      <c r="CO42" s="474">
        <f t="shared" si="34"/>
        <v>0</v>
      </c>
      <c r="CP42" s="474">
        <f t="shared" si="43"/>
        <v>0</v>
      </c>
      <c r="CQ42" s="474">
        <f t="shared" si="43"/>
        <v>0</v>
      </c>
      <c r="CR42" s="474">
        <f t="shared" si="37"/>
        <v>0</v>
      </c>
      <c r="CS42" s="474">
        <f t="shared" si="38"/>
        <v>0</v>
      </c>
      <c r="CT42" s="474">
        <f t="shared" si="39"/>
        <v>0</v>
      </c>
      <c r="CU42" s="474">
        <f t="shared" si="40"/>
        <v>0</v>
      </c>
      <c r="CV42" s="475">
        <f t="shared" si="41"/>
        <v>0</v>
      </c>
    </row>
    <row r="43" spans="2:100" ht="13.5" thickBot="1" x14ac:dyDescent="0.25">
      <c r="B43" s="30" t="s">
        <v>107</v>
      </c>
      <c r="C43" s="416">
        <f t="shared" si="29"/>
        <v>0</v>
      </c>
      <c r="D43" s="423">
        <f>IF(C25=0,0,SUM(E43:P43))</f>
        <v>0</v>
      </c>
      <c r="E43" s="461">
        <f>SUM(E31:E42)</f>
        <v>0</v>
      </c>
      <c r="F43" s="453">
        <f>SUM(F31:F42)</f>
        <v>0</v>
      </c>
      <c r="G43" s="453">
        <f t="shared" ref="G43:P43" si="44">SUM(G31:G42)</f>
        <v>0</v>
      </c>
      <c r="H43" s="453">
        <f t="shared" si="44"/>
        <v>0</v>
      </c>
      <c r="I43" s="453">
        <f t="shared" si="44"/>
        <v>0</v>
      </c>
      <c r="J43" s="453">
        <f t="shared" si="44"/>
        <v>0</v>
      </c>
      <c r="K43" s="453">
        <f t="shared" si="44"/>
        <v>0</v>
      </c>
      <c r="L43" s="453">
        <f t="shared" si="44"/>
        <v>0</v>
      </c>
      <c r="M43" s="453">
        <f t="shared" si="44"/>
        <v>0</v>
      </c>
      <c r="N43" s="453">
        <f t="shared" si="44"/>
        <v>0</v>
      </c>
      <c r="O43" s="453">
        <f t="shared" si="44"/>
        <v>0</v>
      </c>
      <c r="P43" s="454">
        <f t="shared" si="44"/>
        <v>0</v>
      </c>
      <c r="CI43" s="8" t="s">
        <v>107</v>
      </c>
      <c r="CJ43" s="479">
        <f t="shared" si="30"/>
        <v>0</v>
      </c>
      <c r="CK43" s="480">
        <f>IF(E21=0,0,(E43+E65+E87+E109)/E21)</f>
        <v>0</v>
      </c>
      <c r="CL43" s="481">
        <f>IF(F21=0,0,(F43+F65+F87+F109)/F21)</f>
        <v>0</v>
      </c>
      <c r="CM43" s="481">
        <f t="shared" si="32"/>
        <v>0</v>
      </c>
      <c r="CN43" s="481">
        <f t="shared" si="33"/>
        <v>0</v>
      </c>
      <c r="CO43" s="481">
        <f t="shared" si="34"/>
        <v>0</v>
      </c>
      <c r="CP43" s="481">
        <f t="shared" si="35"/>
        <v>0</v>
      </c>
      <c r="CQ43" s="481">
        <f t="shared" si="36"/>
        <v>0</v>
      </c>
      <c r="CR43" s="481">
        <f t="shared" si="37"/>
        <v>0</v>
      </c>
      <c r="CS43" s="481">
        <f t="shared" si="38"/>
        <v>0</v>
      </c>
      <c r="CT43" s="481">
        <f t="shared" si="39"/>
        <v>0</v>
      </c>
      <c r="CU43" s="481">
        <f t="shared" si="40"/>
        <v>0</v>
      </c>
      <c r="CV43" s="482">
        <f t="shared" si="41"/>
        <v>0</v>
      </c>
    </row>
    <row r="44" spans="2:100" ht="19.5" customHeight="1" thickBot="1" x14ac:dyDescent="0.25"/>
    <row r="45" spans="2:100" ht="24" thickBot="1" x14ac:dyDescent="0.4">
      <c r="B45" s="735" t="str">
        <f>'2.1 Verkkopyynti'!K4</f>
        <v>Verkko1</v>
      </c>
      <c r="C45" s="736"/>
      <c r="D45" s="736" t="str">
        <f>'2.1 Verkkopyynti'!L4</f>
        <v>Talvi jää</v>
      </c>
      <c r="E45" s="736"/>
      <c r="F45" s="736"/>
      <c r="G45" s="736"/>
      <c r="H45" s="736"/>
      <c r="I45" s="739"/>
      <c r="CI45" s="735" t="str">
        <f>T89</f>
        <v>Verkko2</v>
      </c>
      <c r="CJ45" s="736"/>
      <c r="CK45" s="736" t="s">
        <v>107</v>
      </c>
      <c r="CL45" s="377"/>
      <c r="CM45" s="377"/>
      <c r="CN45" s="377"/>
      <c r="CO45" s="377"/>
      <c r="CP45" s="734"/>
    </row>
    <row r="46" spans="2:100" ht="15" customHeight="1" thickBot="1" x14ac:dyDescent="0.4">
      <c r="B46" s="39"/>
      <c r="C46" s="39"/>
      <c r="D46" s="43"/>
      <c r="CI46" s="39"/>
      <c r="CJ46" s="39"/>
      <c r="CK46" s="43"/>
    </row>
    <row r="47" spans="2:100" ht="21.75" customHeight="1" thickBot="1" x14ac:dyDescent="0.4">
      <c r="B47" s="30" t="s">
        <v>39</v>
      </c>
      <c r="C47" s="446">
        <f>'2.1 Verkkopyynti'!N6</f>
        <v>0</v>
      </c>
      <c r="D47" s="8" t="s">
        <v>15</v>
      </c>
      <c r="E47" s="41"/>
      <c r="F47" s="42"/>
      <c r="G47" s="8" t="s">
        <v>5</v>
      </c>
      <c r="H47" s="58"/>
      <c r="I47" s="41"/>
      <c r="J47" s="41"/>
      <c r="K47" s="41"/>
      <c r="L47" s="58"/>
      <c r="CI47" s="30" t="s">
        <v>39</v>
      </c>
      <c r="CJ47" s="455">
        <f>U91</f>
        <v>0</v>
      </c>
      <c r="CK47" s="8" t="s">
        <v>15</v>
      </c>
      <c r="CL47" s="41"/>
      <c r="CM47" s="42"/>
      <c r="CN47" s="8" t="s">
        <v>5</v>
      </c>
      <c r="CO47" s="10"/>
      <c r="CP47" s="18"/>
      <c r="CQ47" s="18"/>
      <c r="CR47" s="18"/>
      <c r="CS47" s="10"/>
    </row>
    <row r="48" spans="2:100" ht="13.5" customHeight="1" thickBot="1" x14ac:dyDescent="0.25">
      <c r="B48" s="30" t="s">
        <v>2</v>
      </c>
      <c r="C48" s="1134" t="str">
        <f>IF(C47=0,"0",'2.1 Verkkopyynti'!L9)</f>
        <v>0</v>
      </c>
      <c r="D48" s="8" t="s">
        <v>4</v>
      </c>
      <c r="E48" s="58"/>
      <c r="F48" s="455">
        <f>'2.1 Verkkopyynti'!N10</f>
        <v>0</v>
      </c>
      <c r="G48" s="8" t="s">
        <v>6</v>
      </c>
      <c r="H48" s="41"/>
      <c r="I48" s="41"/>
      <c r="J48" s="41"/>
      <c r="K48" s="58"/>
      <c r="L48" s="446">
        <f>IF(C47=0,0,'2.1 Verkkopyynti'!L13)</f>
        <v>0</v>
      </c>
      <c r="CI48" s="30" t="s">
        <v>2</v>
      </c>
      <c r="CJ48" s="1134" t="str">
        <f>U92</f>
        <v>0</v>
      </c>
      <c r="CK48" s="8" t="s">
        <v>4</v>
      </c>
      <c r="CL48" s="10"/>
      <c r="CM48" s="455">
        <f>X92</f>
        <v>0</v>
      </c>
      <c r="CN48" s="8" t="s">
        <v>6</v>
      </c>
      <c r="CO48" s="18"/>
      <c r="CP48" s="41"/>
      <c r="CQ48" s="18"/>
      <c r="CR48" s="10"/>
      <c r="CS48" s="456">
        <f>AD92</f>
        <v>0</v>
      </c>
    </row>
    <row r="49" spans="2:100" ht="13.5" thickBot="1" x14ac:dyDescent="0.25">
      <c r="B49" s="30" t="s">
        <v>3</v>
      </c>
      <c r="C49" s="1134" t="str">
        <f>IF(C47=0,"0",'2.1 Verkkopyynti'!L10)</f>
        <v>0</v>
      </c>
      <c r="D49" s="8" t="s">
        <v>38</v>
      </c>
      <c r="E49" s="58"/>
      <c r="F49" s="456">
        <f>F48/30</f>
        <v>0</v>
      </c>
      <c r="G49" s="40" t="s">
        <v>26</v>
      </c>
      <c r="H49" s="76"/>
      <c r="I49" s="76"/>
      <c r="J49" s="76"/>
      <c r="K49" s="56"/>
      <c r="L49" s="457">
        <f>'2.1 Verkkopyynti'!L14</f>
        <v>0</v>
      </c>
      <c r="CI49" s="30" t="s">
        <v>3</v>
      </c>
      <c r="CJ49" s="1134" t="str">
        <f>U93</f>
        <v>0</v>
      </c>
      <c r="CK49" s="8" t="s">
        <v>38</v>
      </c>
      <c r="CL49" s="10"/>
      <c r="CM49" s="455">
        <f>X93</f>
        <v>0</v>
      </c>
      <c r="CN49" s="40" t="s">
        <v>26</v>
      </c>
      <c r="CO49" s="14"/>
      <c r="CP49" s="14"/>
      <c r="CQ49" s="14"/>
      <c r="CR49" s="17"/>
      <c r="CS49" s="455">
        <f>AD93</f>
        <v>0</v>
      </c>
    </row>
    <row r="50" spans="2:100" ht="13.5" thickBot="1" x14ac:dyDescent="0.25">
      <c r="B50" s="34"/>
      <c r="C50" s="34"/>
      <c r="CI50" s="34"/>
      <c r="CJ50" s="34"/>
      <c r="CK50" s="45"/>
      <c r="CL50" s="34"/>
      <c r="CN50" s="46"/>
      <c r="CO50" s="34"/>
      <c r="CT50" s="34"/>
    </row>
    <row r="51" spans="2:100" ht="13.5" thickBot="1" x14ac:dyDescent="0.25">
      <c r="B51" s="5" t="s">
        <v>73</v>
      </c>
      <c r="C51" s="51" t="s">
        <v>46</v>
      </c>
      <c r="D51" s="81" t="s">
        <v>40</v>
      </c>
      <c r="E51" s="47"/>
      <c r="F51" s="48"/>
      <c r="G51" s="48"/>
      <c r="H51" s="48"/>
      <c r="I51" s="48"/>
      <c r="J51" s="41" t="s">
        <v>42</v>
      </c>
      <c r="K51" s="48"/>
      <c r="L51" s="48"/>
      <c r="M51" s="48"/>
      <c r="N51" s="48"/>
      <c r="O51" s="48"/>
      <c r="P51" s="49"/>
      <c r="CI51" s="5" t="s">
        <v>73</v>
      </c>
      <c r="CJ51" s="51" t="s">
        <v>40</v>
      </c>
      <c r="CK51" s="47"/>
      <c r="CL51" s="48"/>
      <c r="CM51" s="48"/>
      <c r="CN51" s="48"/>
      <c r="CO51" s="48"/>
      <c r="CP51" s="41" t="s">
        <v>42</v>
      </c>
      <c r="CQ51" s="48"/>
      <c r="CR51" s="48"/>
      <c r="CS51" s="48"/>
      <c r="CT51" s="48"/>
      <c r="CU51" s="48"/>
      <c r="CV51" s="49"/>
    </row>
    <row r="52" spans="2:100" ht="13.5" thickBot="1" x14ac:dyDescent="0.25">
      <c r="B52" s="28"/>
      <c r="C52" s="69" t="s">
        <v>47</v>
      </c>
      <c r="D52" s="29" t="s">
        <v>41</v>
      </c>
      <c r="E52" s="80">
        <v>1</v>
      </c>
      <c r="F52" s="33">
        <v>2</v>
      </c>
      <c r="G52" s="33">
        <v>3</v>
      </c>
      <c r="H52" s="33">
        <v>4</v>
      </c>
      <c r="I52" s="33">
        <v>5</v>
      </c>
      <c r="J52" s="33">
        <v>6</v>
      </c>
      <c r="K52" s="33">
        <v>7</v>
      </c>
      <c r="L52" s="33">
        <v>8</v>
      </c>
      <c r="M52" s="33">
        <v>9</v>
      </c>
      <c r="N52" s="33">
        <v>10</v>
      </c>
      <c r="O52" s="33">
        <v>11</v>
      </c>
      <c r="P52" s="79">
        <v>12</v>
      </c>
      <c r="CI52" s="57"/>
      <c r="CJ52" s="69" t="s">
        <v>41</v>
      </c>
      <c r="CK52" s="72">
        <v>1</v>
      </c>
      <c r="CL52" s="70">
        <v>2</v>
      </c>
      <c r="CM52" s="70">
        <v>3</v>
      </c>
      <c r="CN52" s="70">
        <v>4</v>
      </c>
      <c r="CO52" s="70">
        <v>5</v>
      </c>
      <c r="CP52" s="70">
        <v>6</v>
      </c>
      <c r="CQ52" s="70">
        <v>7</v>
      </c>
      <c r="CR52" s="70">
        <v>8</v>
      </c>
      <c r="CS52" s="70">
        <v>9</v>
      </c>
      <c r="CT52" s="70">
        <v>10</v>
      </c>
      <c r="CU52" s="70">
        <v>11</v>
      </c>
      <c r="CV52" s="71">
        <v>12</v>
      </c>
    </row>
    <row r="53" spans="2:100" x14ac:dyDescent="0.2">
      <c r="B53" s="5" t="s">
        <v>100</v>
      </c>
      <c r="C53" s="544">
        <f t="shared" ref="C53:C65" si="45">IF(D53=0,0,D53/$L$49)</f>
        <v>0</v>
      </c>
      <c r="D53" s="449">
        <f>IF(C47=0,0,SUM(E53:P53))</f>
        <v>0</v>
      </c>
      <c r="E53" s="1455"/>
      <c r="F53" s="1456"/>
      <c r="G53" s="1456"/>
      <c r="H53" s="1456"/>
      <c r="I53" s="1456"/>
      <c r="J53" s="1456"/>
      <c r="K53" s="1456"/>
      <c r="L53" s="1456"/>
      <c r="M53" s="1456"/>
      <c r="N53" s="1456"/>
      <c r="O53" s="1456"/>
      <c r="P53" s="1457"/>
      <c r="CI53" s="5" t="s">
        <v>100</v>
      </c>
      <c r="CJ53" s="476">
        <f t="shared" ref="CJ53:CJ65" si="46">IF(D9=0,0,(D119+D141+D163+D185)/D9)</f>
        <v>0</v>
      </c>
      <c r="CK53" s="467">
        <f t="shared" ref="CK53:CK65" si="47">IF(E9=0,0,(E119+E141+E163+E185)/E9)</f>
        <v>0</v>
      </c>
      <c r="CL53" s="468">
        <f t="shared" ref="CL53:CV53" si="48">IF(F9=0,0,(F119+F141+F163+F185)/F9)</f>
        <v>0</v>
      </c>
      <c r="CM53" s="468">
        <f t="shared" si="48"/>
        <v>0</v>
      </c>
      <c r="CN53" s="468">
        <f t="shared" si="48"/>
        <v>0</v>
      </c>
      <c r="CO53" s="468">
        <f t="shared" si="48"/>
        <v>0</v>
      </c>
      <c r="CP53" s="468">
        <f t="shared" si="48"/>
        <v>0</v>
      </c>
      <c r="CQ53" s="468">
        <f t="shared" si="48"/>
        <v>0</v>
      </c>
      <c r="CR53" s="468">
        <f t="shared" si="48"/>
        <v>0</v>
      </c>
      <c r="CS53" s="468">
        <f t="shared" si="48"/>
        <v>0</v>
      </c>
      <c r="CT53" s="468">
        <f t="shared" si="48"/>
        <v>0</v>
      </c>
      <c r="CU53" s="468">
        <f t="shared" si="48"/>
        <v>0</v>
      </c>
      <c r="CV53" s="469">
        <f t="shared" si="48"/>
        <v>0</v>
      </c>
    </row>
    <row r="54" spans="2:100" x14ac:dyDescent="0.2">
      <c r="B54" s="57" t="s">
        <v>108</v>
      </c>
      <c r="C54" s="501">
        <f t="shared" si="45"/>
        <v>0</v>
      </c>
      <c r="D54" s="450">
        <f>IF(C47=0,0,SUM(E54:P54))</f>
        <v>0</v>
      </c>
      <c r="E54" s="1458"/>
      <c r="F54" s="1459"/>
      <c r="G54" s="1459"/>
      <c r="H54" s="1459"/>
      <c r="I54" s="1459"/>
      <c r="J54" s="1459"/>
      <c r="K54" s="1459"/>
      <c r="L54" s="1459"/>
      <c r="M54" s="1459"/>
      <c r="N54" s="1459"/>
      <c r="O54" s="1459"/>
      <c r="P54" s="1460"/>
      <c r="CI54" s="57" t="s">
        <v>108</v>
      </c>
      <c r="CJ54" s="477">
        <f t="shared" si="46"/>
        <v>0</v>
      </c>
      <c r="CK54" s="470">
        <f t="shared" si="47"/>
        <v>0</v>
      </c>
      <c r="CL54" s="471">
        <f t="shared" ref="CL54:CL65" si="49">IF(F10=0,0,(F120+F142+F164+F186)/F10)</f>
        <v>0</v>
      </c>
      <c r="CM54" s="471">
        <f t="shared" ref="CM54:CM65" si="50">IF(G10=0,0,(G120+G142+G164+G186)/G10)</f>
        <v>0</v>
      </c>
      <c r="CN54" s="471">
        <f t="shared" ref="CN54:CN65" si="51">IF(H10=0,0,(H120+H142+H164+H186)/H10)</f>
        <v>0</v>
      </c>
      <c r="CO54" s="471">
        <f t="shared" ref="CO54:CO65" si="52">IF(I10=0,0,(I120+I142+I164+I186)/I10)</f>
        <v>0</v>
      </c>
      <c r="CP54" s="471">
        <f t="shared" ref="CP54:CP65" si="53">IF(J10=0,0,(J120+J142+J164+J186)/J10)</f>
        <v>0</v>
      </c>
      <c r="CQ54" s="471">
        <f t="shared" ref="CQ54:CQ65" si="54">IF(K10=0,0,(K120+K142+K164+K186)/K10)</f>
        <v>0</v>
      </c>
      <c r="CR54" s="471">
        <f t="shared" ref="CR54:CR65" si="55">IF(L10=0,0,(L120+L142+L164+L186)/L10)</f>
        <v>0</v>
      </c>
      <c r="CS54" s="471">
        <f t="shared" ref="CS54:CS65" si="56">IF(M10=0,0,(M120+M142+M164+M186)/M10)</f>
        <v>0</v>
      </c>
      <c r="CT54" s="471">
        <f t="shared" ref="CT54:CT65" si="57">IF(N10=0,0,(N120+N142+N164+N186)/N10)</f>
        <v>0</v>
      </c>
      <c r="CU54" s="471">
        <f t="shared" ref="CU54:CU65" si="58">IF(O10=0,0,(O120+O142+O164+O186)/O10)</f>
        <v>0</v>
      </c>
      <c r="CV54" s="472">
        <f t="shared" ref="CV54:CV65" si="59">IF(P10=0,0,(P120+P142+P164+P186)/P10)</f>
        <v>0</v>
      </c>
    </row>
    <row r="55" spans="2:100" x14ac:dyDescent="0.2">
      <c r="B55" s="57" t="s">
        <v>101</v>
      </c>
      <c r="C55" s="450">
        <f t="shared" si="45"/>
        <v>0</v>
      </c>
      <c r="D55" s="439">
        <f>IF(C47=0,0,SUM(E55:P55))</f>
        <v>0</v>
      </c>
      <c r="E55" s="1458"/>
      <c r="F55" s="1459"/>
      <c r="G55" s="1459"/>
      <c r="H55" s="1459"/>
      <c r="I55" s="1459"/>
      <c r="J55" s="1459"/>
      <c r="K55" s="1459"/>
      <c r="L55" s="1459"/>
      <c r="M55" s="1459"/>
      <c r="N55" s="1459"/>
      <c r="O55" s="1459"/>
      <c r="P55" s="1460"/>
      <c r="CI55" s="57" t="s">
        <v>101</v>
      </c>
      <c r="CJ55" s="477">
        <f t="shared" si="46"/>
        <v>0</v>
      </c>
      <c r="CK55" s="470">
        <f t="shared" si="47"/>
        <v>0</v>
      </c>
      <c r="CL55" s="471">
        <f t="shared" si="49"/>
        <v>0</v>
      </c>
      <c r="CM55" s="471">
        <f t="shared" si="50"/>
        <v>0</v>
      </c>
      <c r="CN55" s="471">
        <f t="shared" si="51"/>
        <v>0</v>
      </c>
      <c r="CO55" s="471">
        <f t="shared" si="52"/>
        <v>0</v>
      </c>
      <c r="CP55" s="471">
        <f t="shared" si="53"/>
        <v>0</v>
      </c>
      <c r="CQ55" s="471">
        <f t="shared" si="54"/>
        <v>0</v>
      </c>
      <c r="CR55" s="471">
        <f t="shared" si="55"/>
        <v>0</v>
      </c>
      <c r="CS55" s="471">
        <f t="shared" si="56"/>
        <v>0</v>
      </c>
      <c r="CT55" s="471">
        <f t="shared" si="57"/>
        <v>0</v>
      </c>
      <c r="CU55" s="471">
        <f t="shared" si="58"/>
        <v>0</v>
      </c>
      <c r="CV55" s="472">
        <f t="shared" si="59"/>
        <v>0</v>
      </c>
    </row>
    <row r="56" spans="2:100" x14ac:dyDescent="0.2">
      <c r="B56" s="57" t="s">
        <v>102</v>
      </c>
      <c r="C56" s="450">
        <f t="shared" si="45"/>
        <v>0</v>
      </c>
      <c r="D56" s="439">
        <f>IF(C47=0,0,SUM(E56:P56))</f>
        <v>0</v>
      </c>
      <c r="E56" s="1461"/>
      <c r="F56" s="1462"/>
      <c r="G56" s="1462"/>
      <c r="H56" s="1462"/>
      <c r="I56" s="1462"/>
      <c r="J56" s="1462"/>
      <c r="K56" s="1462"/>
      <c r="L56" s="1462"/>
      <c r="M56" s="1462"/>
      <c r="N56" s="1462"/>
      <c r="O56" s="1462"/>
      <c r="P56" s="1463"/>
      <c r="CI56" s="57" t="s">
        <v>102</v>
      </c>
      <c r="CJ56" s="477">
        <f t="shared" si="46"/>
        <v>0</v>
      </c>
      <c r="CK56" s="470">
        <f t="shared" si="47"/>
        <v>0</v>
      </c>
      <c r="CL56" s="471">
        <f t="shared" si="49"/>
        <v>0</v>
      </c>
      <c r="CM56" s="471">
        <f t="shared" si="50"/>
        <v>0</v>
      </c>
      <c r="CN56" s="471">
        <f t="shared" si="51"/>
        <v>0</v>
      </c>
      <c r="CO56" s="471">
        <f t="shared" si="52"/>
        <v>0</v>
      </c>
      <c r="CP56" s="471">
        <f t="shared" si="53"/>
        <v>0</v>
      </c>
      <c r="CQ56" s="471">
        <f t="shared" si="54"/>
        <v>0</v>
      </c>
      <c r="CR56" s="471">
        <f t="shared" si="55"/>
        <v>0</v>
      </c>
      <c r="CS56" s="471">
        <f t="shared" si="56"/>
        <v>0</v>
      </c>
      <c r="CT56" s="471">
        <f t="shared" si="57"/>
        <v>0</v>
      </c>
      <c r="CU56" s="471">
        <f t="shared" si="58"/>
        <v>0</v>
      </c>
      <c r="CV56" s="472">
        <f t="shared" si="59"/>
        <v>0</v>
      </c>
    </row>
    <row r="57" spans="2:100" x14ac:dyDescent="0.2">
      <c r="B57" s="57" t="s">
        <v>103</v>
      </c>
      <c r="C57" s="450">
        <f t="shared" si="45"/>
        <v>0</v>
      </c>
      <c r="D57" s="439">
        <f>IF(C47=0,0,SUM(E57:P57))</f>
        <v>0</v>
      </c>
      <c r="E57" s="1461"/>
      <c r="F57" s="1462"/>
      <c r="G57" s="1462"/>
      <c r="H57" s="1462"/>
      <c r="I57" s="1462"/>
      <c r="J57" s="1462"/>
      <c r="K57" s="1462"/>
      <c r="L57" s="1462"/>
      <c r="M57" s="1462"/>
      <c r="N57" s="1462"/>
      <c r="O57" s="1462"/>
      <c r="P57" s="1463"/>
      <c r="CI57" s="57" t="s">
        <v>103</v>
      </c>
      <c r="CJ57" s="477">
        <f t="shared" si="46"/>
        <v>0</v>
      </c>
      <c r="CK57" s="470">
        <f t="shared" si="47"/>
        <v>0</v>
      </c>
      <c r="CL57" s="471">
        <f t="shared" si="49"/>
        <v>0</v>
      </c>
      <c r="CM57" s="471">
        <f t="shared" si="50"/>
        <v>0</v>
      </c>
      <c r="CN57" s="471">
        <f t="shared" si="51"/>
        <v>0</v>
      </c>
      <c r="CO57" s="471">
        <f t="shared" si="52"/>
        <v>0</v>
      </c>
      <c r="CP57" s="471">
        <f t="shared" si="53"/>
        <v>0</v>
      </c>
      <c r="CQ57" s="471">
        <f t="shared" si="54"/>
        <v>0</v>
      </c>
      <c r="CR57" s="471">
        <f t="shared" si="55"/>
        <v>0</v>
      </c>
      <c r="CS57" s="471">
        <f t="shared" si="56"/>
        <v>0</v>
      </c>
      <c r="CT57" s="471">
        <f t="shared" si="57"/>
        <v>0</v>
      </c>
      <c r="CU57" s="471">
        <f t="shared" si="58"/>
        <v>0</v>
      </c>
      <c r="CV57" s="472">
        <f t="shared" si="59"/>
        <v>0</v>
      </c>
    </row>
    <row r="58" spans="2:100" x14ac:dyDescent="0.2">
      <c r="B58" s="57" t="s">
        <v>104</v>
      </c>
      <c r="C58" s="450">
        <f t="shared" si="45"/>
        <v>0</v>
      </c>
      <c r="D58" s="439">
        <f>IF(C47=0,0,SUM(E58:P58))</f>
        <v>0</v>
      </c>
      <c r="E58" s="1461"/>
      <c r="F58" s="1462"/>
      <c r="G58" s="1462"/>
      <c r="H58" s="1462"/>
      <c r="I58" s="1462"/>
      <c r="J58" s="1462"/>
      <c r="K58" s="1462"/>
      <c r="L58" s="1462"/>
      <c r="M58" s="1462"/>
      <c r="N58" s="1462"/>
      <c r="O58" s="1462"/>
      <c r="P58" s="1463"/>
      <c r="CI58" s="57" t="s">
        <v>104</v>
      </c>
      <c r="CJ58" s="477">
        <f t="shared" si="46"/>
        <v>0</v>
      </c>
      <c r="CK58" s="470">
        <f t="shared" si="47"/>
        <v>0</v>
      </c>
      <c r="CL58" s="471">
        <f t="shared" si="49"/>
        <v>0</v>
      </c>
      <c r="CM58" s="471">
        <f t="shared" si="50"/>
        <v>0</v>
      </c>
      <c r="CN58" s="471">
        <f t="shared" si="51"/>
        <v>0</v>
      </c>
      <c r="CO58" s="471">
        <f t="shared" si="52"/>
        <v>0</v>
      </c>
      <c r="CP58" s="471">
        <f t="shared" si="53"/>
        <v>0</v>
      </c>
      <c r="CQ58" s="471">
        <f t="shared" si="54"/>
        <v>0</v>
      </c>
      <c r="CR58" s="471">
        <f t="shared" si="55"/>
        <v>0</v>
      </c>
      <c r="CS58" s="471">
        <f t="shared" si="56"/>
        <v>0</v>
      </c>
      <c r="CT58" s="471">
        <f t="shared" si="57"/>
        <v>0</v>
      </c>
      <c r="CU58" s="471">
        <f t="shared" si="58"/>
        <v>0</v>
      </c>
      <c r="CV58" s="472">
        <f t="shared" si="59"/>
        <v>0</v>
      </c>
    </row>
    <row r="59" spans="2:100" x14ac:dyDescent="0.2">
      <c r="B59" s="57" t="s">
        <v>105</v>
      </c>
      <c r="C59" s="450">
        <f t="shared" si="45"/>
        <v>0</v>
      </c>
      <c r="D59" s="439">
        <f>IF(C47=0,0,SUM(E59:P59))</f>
        <v>0</v>
      </c>
      <c r="E59" s="1461"/>
      <c r="F59" s="1462"/>
      <c r="G59" s="1462"/>
      <c r="H59" s="1462"/>
      <c r="I59" s="1462"/>
      <c r="J59" s="1462"/>
      <c r="K59" s="1462"/>
      <c r="L59" s="1462"/>
      <c r="M59" s="1462"/>
      <c r="N59" s="1462"/>
      <c r="O59" s="1462"/>
      <c r="P59" s="1463"/>
      <c r="CI59" s="57" t="s">
        <v>105</v>
      </c>
      <c r="CJ59" s="477">
        <f t="shared" si="46"/>
        <v>0</v>
      </c>
      <c r="CK59" s="470">
        <f t="shared" si="47"/>
        <v>0</v>
      </c>
      <c r="CL59" s="471">
        <f t="shared" si="49"/>
        <v>0</v>
      </c>
      <c r="CM59" s="471">
        <f t="shared" si="50"/>
        <v>0</v>
      </c>
      <c r="CN59" s="471">
        <f t="shared" si="51"/>
        <v>0</v>
      </c>
      <c r="CO59" s="471">
        <f t="shared" si="52"/>
        <v>0</v>
      </c>
      <c r="CP59" s="471">
        <f t="shared" si="53"/>
        <v>0</v>
      </c>
      <c r="CQ59" s="471">
        <f t="shared" si="54"/>
        <v>0</v>
      </c>
      <c r="CR59" s="471">
        <f t="shared" si="55"/>
        <v>0</v>
      </c>
      <c r="CS59" s="471">
        <f t="shared" si="56"/>
        <v>0</v>
      </c>
      <c r="CT59" s="471">
        <f t="shared" si="57"/>
        <v>0</v>
      </c>
      <c r="CU59" s="471">
        <f t="shared" si="58"/>
        <v>0</v>
      </c>
      <c r="CV59" s="472">
        <f t="shared" si="59"/>
        <v>0</v>
      </c>
    </row>
    <row r="60" spans="2:100" x14ac:dyDescent="0.2">
      <c r="B60" s="57" t="s">
        <v>106</v>
      </c>
      <c r="C60" s="450">
        <f t="shared" si="45"/>
        <v>0</v>
      </c>
      <c r="D60" s="439">
        <f>IF(C47=0,0,SUM(E60:P60))</f>
        <v>0</v>
      </c>
      <c r="E60" s="1461"/>
      <c r="F60" s="1462"/>
      <c r="G60" s="1462"/>
      <c r="H60" s="1462"/>
      <c r="I60" s="1462"/>
      <c r="J60" s="1462"/>
      <c r="K60" s="1462"/>
      <c r="L60" s="1462"/>
      <c r="M60" s="1462"/>
      <c r="N60" s="1462"/>
      <c r="O60" s="1462"/>
      <c r="P60" s="1463"/>
      <c r="CI60" s="57" t="s">
        <v>106</v>
      </c>
      <c r="CJ60" s="477">
        <f t="shared" si="46"/>
        <v>0</v>
      </c>
      <c r="CK60" s="470">
        <f t="shared" si="47"/>
        <v>0</v>
      </c>
      <c r="CL60" s="471">
        <f t="shared" si="49"/>
        <v>0</v>
      </c>
      <c r="CM60" s="471">
        <f t="shared" si="50"/>
        <v>0</v>
      </c>
      <c r="CN60" s="471">
        <f t="shared" si="51"/>
        <v>0</v>
      </c>
      <c r="CO60" s="471">
        <f t="shared" si="52"/>
        <v>0</v>
      </c>
      <c r="CP60" s="471">
        <f t="shared" si="53"/>
        <v>0</v>
      </c>
      <c r="CQ60" s="471">
        <f t="shared" si="54"/>
        <v>0</v>
      </c>
      <c r="CR60" s="471">
        <f t="shared" si="55"/>
        <v>0</v>
      </c>
      <c r="CS60" s="471">
        <f t="shared" si="56"/>
        <v>0</v>
      </c>
      <c r="CT60" s="471">
        <f t="shared" si="57"/>
        <v>0</v>
      </c>
      <c r="CU60" s="471">
        <f t="shared" si="58"/>
        <v>0</v>
      </c>
      <c r="CV60" s="472">
        <f t="shared" si="59"/>
        <v>0</v>
      </c>
    </row>
    <row r="61" spans="2:100" x14ac:dyDescent="0.2">
      <c r="B61" s="57" t="s">
        <v>37</v>
      </c>
      <c r="C61" s="450">
        <f t="shared" si="45"/>
        <v>0</v>
      </c>
      <c r="D61" s="439">
        <f>IF(C47=0,0,SUM(E61:P61))</f>
        <v>0</v>
      </c>
      <c r="E61" s="1461"/>
      <c r="F61" s="1462"/>
      <c r="G61" s="1462"/>
      <c r="H61" s="1462"/>
      <c r="I61" s="1462"/>
      <c r="J61" s="1462"/>
      <c r="K61" s="1462"/>
      <c r="L61" s="1462"/>
      <c r="M61" s="1462"/>
      <c r="N61" s="1462"/>
      <c r="O61" s="1462"/>
      <c r="P61" s="1463"/>
      <c r="CI61" s="57" t="s">
        <v>37</v>
      </c>
      <c r="CJ61" s="477">
        <f t="shared" si="46"/>
        <v>0</v>
      </c>
      <c r="CK61" s="470">
        <f t="shared" si="47"/>
        <v>0</v>
      </c>
      <c r="CL61" s="471">
        <f t="shared" si="49"/>
        <v>0</v>
      </c>
      <c r="CM61" s="471">
        <f t="shared" si="50"/>
        <v>0</v>
      </c>
      <c r="CN61" s="471">
        <f t="shared" si="51"/>
        <v>0</v>
      </c>
      <c r="CO61" s="471">
        <f t="shared" si="52"/>
        <v>0</v>
      </c>
      <c r="CP61" s="471">
        <f t="shared" si="53"/>
        <v>0</v>
      </c>
      <c r="CQ61" s="471">
        <f t="shared" si="54"/>
        <v>0</v>
      </c>
      <c r="CR61" s="471">
        <f t="shared" si="55"/>
        <v>0</v>
      </c>
      <c r="CS61" s="471">
        <f t="shared" si="56"/>
        <v>0</v>
      </c>
      <c r="CT61" s="471">
        <f t="shared" si="57"/>
        <v>0</v>
      </c>
      <c r="CU61" s="471">
        <f t="shared" si="58"/>
        <v>0</v>
      </c>
      <c r="CV61" s="472">
        <f t="shared" si="59"/>
        <v>0</v>
      </c>
    </row>
    <row r="62" spans="2:100" x14ac:dyDescent="0.2">
      <c r="B62" s="57" t="s">
        <v>36</v>
      </c>
      <c r="C62" s="450">
        <f t="shared" si="45"/>
        <v>0</v>
      </c>
      <c r="D62" s="439">
        <f>IF(C47=0,0,SUM(E62:P62))</f>
        <v>0</v>
      </c>
      <c r="E62" s="1464"/>
      <c r="F62" s="1465"/>
      <c r="G62" s="1465"/>
      <c r="H62" s="1465"/>
      <c r="I62" s="1465"/>
      <c r="J62" s="1465"/>
      <c r="K62" s="1465"/>
      <c r="L62" s="1465"/>
      <c r="M62" s="1465"/>
      <c r="N62" s="1465"/>
      <c r="O62" s="1465"/>
      <c r="P62" s="1466"/>
      <c r="CI62" s="57" t="s">
        <v>36</v>
      </c>
      <c r="CJ62" s="477">
        <f t="shared" si="46"/>
        <v>0</v>
      </c>
      <c r="CK62" s="470">
        <f t="shared" si="47"/>
        <v>0</v>
      </c>
      <c r="CL62" s="471">
        <f t="shared" si="49"/>
        <v>0</v>
      </c>
      <c r="CM62" s="471">
        <f t="shared" si="50"/>
        <v>0</v>
      </c>
      <c r="CN62" s="471">
        <f t="shared" si="51"/>
        <v>0</v>
      </c>
      <c r="CO62" s="471">
        <f t="shared" si="52"/>
        <v>0</v>
      </c>
      <c r="CP62" s="471">
        <f t="shared" si="53"/>
        <v>0</v>
      </c>
      <c r="CQ62" s="471">
        <f t="shared" si="54"/>
        <v>0</v>
      </c>
      <c r="CR62" s="471">
        <f t="shared" si="55"/>
        <v>0</v>
      </c>
      <c r="CS62" s="471">
        <f t="shared" si="56"/>
        <v>0</v>
      </c>
      <c r="CT62" s="471">
        <f t="shared" si="57"/>
        <v>0</v>
      </c>
      <c r="CU62" s="471">
        <f t="shared" si="58"/>
        <v>0</v>
      </c>
      <c r="CV62" s="472">
        <f t="shared" si="59"/>
        <v>0</v>
      </c>
    </row>
    <row r="63" spans="2:100" x14ac:dyDescent="0.2">
      <c r="B63" s="57" t="s">
        <v>94</v>
      </c>
      <c r="C63" s="450">
        <f t="shared" si="45"/>
        <v>0</v>
      </c>
      <c r="D63" s="486">
        <f>IF(C47=0,0,SUM(E63:P63))</f>
        <v>0</v>
      </c>
      <c r="E63" s="1464"/>
      <c r="F63" s="1465"/>
      <c r="G63" s="1465"/>
      <c r="H63" s="1465"/>
      <c r="I63" s="1465"/>
      <c r="J63" s="1465"/>
      <c r="K63" s="1465"/>
      <c r="L63" s="1465"/>
      <c r="M63" s="1465"/>
      <c r="N63" s="1465"/>
      <c r="O63" s="1465"/>
      <c r="P63" s="1466"/>
      <c r="CI63" s="57" t="s">
        <v>94</v>
      </c>
      <c r="CJ63" s="477">
        <f t="shared" si="46"/>
        <v>0</v>
      </c>
      <c r="CK63" s="470">
        <f t="shared" si="47"/>
        <v>0</v>
      </c>
      <c r="CL63" s="471">
        <f t="shared" si="49"/>
        <v>0</v>
      </c>
      <c r="CM63" s="471">
        <f t="shared" si="50"/>
        <v>0</v>
      </c>
      <c r="CN63" s="471">
        <f t="shared" si="51"/>
        <v>0</v>
      </c>
      <c r="CO63" s="471">
        <f t="shared" si="52"/>
        <v>0</v>
      </c>
      <c r="CP63" s="471">
        <f t="shared" si="53"/>
        <v>0</v>
      </c>
      <c r="CQ63" s="471">
        <f t="shared" si="54"/>
        <v>0</v>
      </c>
      <c r="CR63" s="471">
        <f t="shared" si="55"/>
        <v>0</v>
      </c>
      <c r="CS63" s="471">
        <f t="shared" si="56"/>
        <v>0</v>
      </c>
      <c r="CT63" s="471">
        <f t="shared" si="57"/>
        <v>0</v>
      </c>
      <c r="CU63" s="471">
        <f t="shared" si="58"/>
        <v>0</v>
      </c>
      <c r="CV63" s="472">
        <f t="shared" si="59"/>
        <v>0</v>
      </c>
    </row>
    <row r="64" spans="2:100" ht="13.5" thickBot="1" x14ac:dyDescent="0.25">
      <c r="B64" s="40" t="s">
        <v>93</v>
      </c>
      <c r="C64" s="498">
        <f t="shared" si="45"/>
        <v>0</v>
      </c>
      <c r="D64" s="512">
        <f>IF(C47=0,0,SUM(E64:P64))</f>
        <v>0</v>
      </c>
      <c r="E64" s="1464"/>
      <c r="F64" s="1465"/>
      <c r="G64" s="1465"/>
      <c r="H64" s="1465"/>
      <c r="I64" s="1465"/>
      <c r="J64" s="1465"/>
      <c r="K64" s="1465"/>
      <c r="L64" s="1465"/>
      <c r="M64" s="1465"/>
      <c r="N64" s="1465"/>
      <c r="O64" s="1465"/>
      <c r="P64" s="1466"/>
      <c r="CI64" s="40" t="s">
        <v>93</v>
      </c>
      <c r="CJ64" s="478">
        <f t="shared" si="46"/>
        <v>0</v>
      </c>
      <c r="CK64" s="473">
        <f t="shared" si="47"/>
        <v>0</v>
      </c>
      <c r="CL64" s="474">
        <f t="shared" si="49"/>
        <v>0</v>
      </c>
      <c r="CM64" s="474">
        <f t="shared" si="50"/>
        <v>0</v>
      </c>
      <c r="CN64" s="474">
        <f t="shared" si="51"/>
        <v>0</v>
      </c>
      <c r="CO64" s="474">
        <f t="shared" si="52"/>
        <v>0</v>
      </c>
      <c r="CP64" s="474">
        <f t="shared" si="53"/>
        <v>0</v>
      </c>
      <c r="CQ64" s="474">
        <f t="shared" si="54"/>
        <v>0</v>
      </c>
      <c r="CR64" s="474">
        <f t="shared" si="55"/>
        <v>0</v>
      </c>
      <c r="CS64" s="474">
        <f t="shared" si="56"/>
        <v>0</v>
      </c>
      <c r="CT64" s="474">
        <f t="shared" si="57"/>
        <v>0</v>
      </c>
      <c r="CU64" s="474">
        <f t="shared" si="58"/>
        <v>0</v>
      </c>
      <c r="CV64" s="475">
        <f t="shared" si="59"/>
        <v>0</v>
      </c>
    </row>
    <row r="65" spans="2:100" ht="13.5" thickBot="1" x14ac:dyDescent="0.25">
      <c r="B65" s="54" t="s">
        <v>107</v>
      </c>
      <c r="C65" s="416">
        <f t="shared" si="45"/>
        <v>0</v>
      </c>
      <c r="D65" s="423">
        <f>IF(C47=0,0,SUM(E65:P65))</f>
        <v>0</v>
      </c>
      <c r="E65" s="461">
        <f>SUM(E53:E64)</f>
        <v>0</v>
      </c>
      <c r="F65" s="453">
        <f t="shared" ref="F65:P65" si="60">SUM(F53:F64)</f>
        <v>0</v>
      </c>
      <c r="G65" s="453">
        <f t="shared" si="60"/>
        <v>0</v>
      </c>
      <c r="H65" s="453">
        <f t="shared" si="60"/>
        <v>0</v>
      </c>
      <c r="I65" s="453">
        <f t="shared" si="60"/>
        <v>0</v>
      </c>
      <c r="J65" s="453">
        <f>SUM(J53:J64)</f>
        <v>0</v>
      </c>
      <c r="K65" s="453">
        <f>SUM(K53:K64)</f>
        <v>0</v>
      </c>
      <c r="L65" s="453">
        <f t="shared" si="60"/>
        <v>0</v>
      </c>
      <c r="M65" s="453">
        <f t="shared" si="60"/>
        <v>0</v>
      </c>
      <c r="N65" s="453">
        <f t="shared" si="60"/>
        <v>0</v>
      </c>
      <c r="O65" s="453">
        <f t="shared" si="60"/>
        <v>0</v>
      </c>
      <c r="P65" s="454">
        <f t="shared" si="60"/>
        <v>0</v>
      </c>
      <c r="CI65" s="8" t="s">
        <v>107</v>
      </c>
      <c r="CJ65" s="479">
        <f t="shared" si="46"/>
        <v>0</v>
      </c>
      <c r="CK65" s="480">
        <f t="shared" si="47"/>
        <v>0</v>
      </c>
      <c r="CL65" s="481">
        <f t="shared" si="49"/>
        <v>0</v>
      </c>
      <c r="CM65" s="481">
        <f t="shared" si="50"/>
        <v>0</v>
      </c>
      <c r="CN65" s="481">
        <f t="shared" si="51"/>
        <v>0</v>
      </c>
      <c r="CO65" s="481">
        <f t="shared" si="52"/>
        <v>0</v>
      </c>
      <c r="CP65" s="481">
        <f t="shared" si="53"/>
        <v>0</v>
      </c>
      <c r="CQ65" s="481">
        <f t="shared" si="54"/>
        <v>0</v>
      </c>
      <c r="CR65" s="481">
        <f t="shared" si="55"/>
        <v>0</v>
      </c>
      <c r="CS65" s="481">
        <f t="shared" si="56"/>
        <v>0</v>
      </c>
      <c r="CT65" s="481">
        <f t="shared" si="57"/>
        <v>0</v>
      </c>
      <c r="CU65" s="481">
        <f t="shared" si="58"/>
        <v>0</v>
      </c>
      <c r="CV65" s="482">
        <f t="shared" si="59"/>
        <v>0</v>
      </c>
    </row>
    <row r="66" spans="2:100" ht="19.5" customHeight="1" thickBot="1" x14ac:dyDescent="0.25">
      <c r="F66" s="27"/>
    </row>
    <row r="67" spans="2:100" ht="24" thickBot="1" x14ac:dyDescent="0.4">
      <c r="B67" s="735" t="str">
        <f>'2.1 Verkkopyynti'!R4</f>
        <v>Verkko1</v>
      </c>
      <c r="C67" s="736"/>
      <c r="D67" s="736" t="str">
        <f>'2.1 Verkkopyynti'!S4</f>
        <v>Kevät</v>
      </c>
      <c r="E67" s="736"/>
      <c r="F67" s="736"/>
      <c r="G67" s="736"/>
      <c r="H67" s="736"/>
      <c r="I67" s="739"/>
      <c r="T67" s="735" t="str">
        <f>'2.1 Verkkopyynti'!D4</f>
        <v>Verkko1</v>
      </c>
      <c r="U67" s="736"/>
      <c r="V67" s="736" t="s">
        <v>107</v>
      </c>
      <c r="W67" s="377"/>
      <c r="X67" s="377"/>
      <c r="Y67" s="377"/>
      <c r="Z67" s="377"/>
      <c r="AA67" s="734"/>
      <c r="CI67" s="735" t="str">
        <f>T111</f>
        <v>Isorysä1</v>
      </c>
      <c r="CJ67" s="736"/>
      <c r="CK67" s="735"/>
      <c r="CL67" s="377"/>
      <c r="CM67" s="377"/>
      <c r="CN67" s="377"/>
      <c r="CO67" s="377"/>
      <c r="CP67" s="734"/>
    </row>
    <row r="68" spans="2:100" ht="15" customHeight="1" thickBot="1" x14ac:dyDescent="0.4">
      <c r="B68" s="39"/>
      <c r="C68" s="39"/>
      <c r="D68" s="43"/>
      <c r="T68" s="39"/>
      <c r="U68" s="39"/>
      <c r="V68" s="43"/>
      <c r="CI68" s="39"/>
      <c r="CJ68" s="39"/>
      <c r="CK68" s="43"/>
    </row>
    <row r="69" spans="2:100" ht="21.75" customHeight="1" thickBot="1" x14ac:dyDescent="0.4">
      <c r="B69" s="30" t="s">
        <v>39</v>
      </c>
      <c r="C69" s="446">
        <f>'2.1 Verkkopyynti'!U6</f>
        <v>0</v>
      </c>
      <c r="D69" s="8" t="s">
        <v>15</v>
      </c>
      <c r="E69" s="41"/>
      <c r="F69" s="42"/>
      <c r="G69" s="8" t="s">
        <v>5</v>
      </c>
      <c r="H69" s="58"/>
      <c r="I69" s="41"/>
      <c r="J69" s="41"/>
      <c r="K69" s="41"/>
      <c r="L69" s="58"/>
      <c r="T69" s="30" t="s">
        <v>39</v>
      </c>
      <c r="U69" s="455">
        <f>IF((F26+F48+F70+F92)=0,0,((C25*F26+C47*F48+C69*F70+C91*F92)/(F26+F48+F70+F92)))</f>
        <v>0</v>
      </c>
      <c r="V69" s="8" t="s">
        <v>15</v>
      </c>
      <c r="W69" s="41"/>
      <c r="X69" s="42"/>
      <c r="Y69" s="8" t="s">
        <v>5</v>
      </c>
      <c r="Z69" s="10"/>
      <c r="AA69" s="18"/>
      <c r="AB69" s="18"/>
      <c r="AC69" s="18"/>
      <c r="AD69" s="10"/>
      <c r="CI69" s="30" t="s">
        <v>39</v>
      </c>
      <c r="CJ69" s="644">
        <f>U113</f>
        <v>0</v>
      </c>
      <c r="CK69" s="8" t="s">
        <v>15</v>
      </c>
      <c r="CL69" s="41"/>
      <c r="CM69" s="42"/>
      <c r="CN69" s="8" t="s">
        <v>5</v>
      </c>
      <c r="CO69" s="38"/>
      <c r="CP69" s="18"/>
      <c r="CQ69" s="18"/>
      <c r="CR69" s="18"/>
      <c r="CS69" s="10"/>
      <c r="CU69" s="34"/>
    </row>
    <row r="70" spans="2:100" ht="13.5" thickBot="1" x14ac:dyDescent="0.25">
      <c r="B70" s="30" t="s">
        <v>2</v>
      </c>
      <c r="C70" s="1134" t="str">
        <f>IF(C69=0,"0",'2.1 Verkkopyynti'!S9)</f>
        <v>0</v>
      </c>
      <c r="D70" s="8" t="s">
        <v>4</v>
      </c>
      <c r="E70" s="58"/>
      <c r="F70" s="455">
        <f>'2.1 Verkkopyynti'!U10</f>
        <v>0</v>
      </c>
      <c r="G70" s="8" t="s">
        <v>6</v>
      </c>
      <c r="H70" s="41"/>
      <c r="I70" s="41"/>
      <c r="J70" s="41"/>
      <c r="K70" s="58"/>
      <c r="L70" s="457">
        <f>IF(C69=0,0,'2.1 Verkkopyynti'!S13)</f>
        <v>0</v>
      </c>
      <c r="T70" s="30" t="s">
        <v>2</v>
      </c>
      <c r="U70" s="1134" t="str">
        <f>IF(U69=0,"0",MIN(C26,C48,C70,C92))</f>
        <v>0</v>
      </c>
      <c r="V70" s="8" t="s">
        <v>4</v>
      </c>
      <c r="W70" s="10"/>
      <c r="X70" s="455">
        <f>F26+F48+F70+F92</f>
        <v>0</v>
      </c>
      <c r="Y70" s="8" t="s">
        <v>6</v>
      </c>
      <c r="Z70" s="18"/>
      <c r="AA70" s="41"/>
      <c r="AB70" s="18"/>
      <c r="AC70" s="10"/>
      <c r="AD70" s="456">
        <f>IF(U69=0,0,AD71/(X70/7))</f>
        <v>0</v>
      </c>
      <c r="CI70" s="30" t="s">
        <v>2</v>
      </c>
      <c r="CJ70" s="1134" t="str">
        <f>U114</f>
        <v>0</v>
      </c>
      <c r="CK70" s="8" t="s">
        <v>43</v>
      </c>
      <c r="CL70" s="10"/>
      <c r="CM70" s="447">
        <f>X114</f>
        <v>0</v>
      </c>
      <c r="CN70" s="8" t="s">
        <v>6</v>
      </c>
      <c r="CO70" s="18"/>
      <c r="CP70" s="41"/>
      <c r="CQ70" s="18"/>
      <c r="CR70" s="10"/>
      <c r="CS70" s="456">
        <f>AD114</f>
        <v>0</v>
      </c>
      <c r="CU70" s="34"/>
    </row>
    <row r="71" spans="2:100" ht="13.5" customHeight="1" thickBot="1" x14ac:dyDescent="0.25">
      <c r="B71" s="30" t="s">
        <v>3</v>
      </c>
      <c r="C71" s="1134" t="str">
        <f>IF(C69=0,"0",'2.1 Verkkopyynti'!S10)</f>
        <v>0</v>
      </c>
      <c r="D71" s="8" t="s">
        <v>38</v>
      </c>
      <c r="E71" s="58"/>
      <c r="F71" s="456">
        <f>F70/30</f>
        <v>0</v>
      </c>
      <c r="G71" s="40" t="s">
        <v>26</v>
      </c>
      <c r="H71" s="76"/>
      <c r="I71" s="76"/>
      <c r="J71" s="76"/>
      <c r="K71" s="56"/>
      <c r="L71" s="457">
        <f>'2.1 Verkkopyynti'!S14</f>
        <v>0</v>
      </c>
      <c r="T71" s="30" t="s">
        <v>3</v>
      </c>
      <c r="U71" s="1134" t="str">
        <f>IF(U69=0,"0",MAX(C27,C49,C71,C93))</f>
        <v>0</v>
      </c>
      <c r="V71" s="8" t="s">
        <v>38</v>
      </c>
      <c r="W71" s="10"/>
      <c r="X71" s="456">
        <f>X70/30</f>
        <v>0</v>
      </c>
      <c r="Y71" s="40" t="s">
        <v>26</v>
      </c>
      <c r="Z71" s="14"/>
      <c r="AA71" s="14"/>
      <c r="AB71" s="14"/>
      <c r="AC71" s="17"/>
      <c r="AD71" s="457">
        <f>L27+L49+L71+L93</f>
        <v>0</v>
      </c>
      <c r="AE71" t="s">
        <v>1</v>
      </c>
      <c r="CI71" s="30" t="s">
        <v>3</v>
      </c>
      <c r="CJ71" s="1134" t="str">
        <f>U115</f>
        <v>0</v>
      </c>
      <c r="CK71" s="8" t="s">
        <v>44</v>
      </c>
      <c r="CL71" s="10"/>
      <c r="CM71" s="447">
        <f>X115</f>
        <v>0</v>
      </c>
      <c r="CN71" s="40" t="s">
        <v>26</v>
      </c>
      <c r="CO71" s="14"/>
      <c r="CP71" s="14"/>
      <c r="CQ71" s="14"/>
      <c r="CR71" s="17"/>
      <c r="CS71" s="457">
        <f>AD115</f>
        <v>0</v>
      </c>
    </row>
    <row r="72" spans="2:100" ht="13.5" thickBot="1" x14ac:dyDescent="0.25">
      <c r="T72" s="34"/>
      <c r="U72" s="34"/>
      <c r="V72" s="45"/>
      <c r="W72" s="34"/>
      <c r="Y72" s="46"/>
      <c r="Z72" s="34"/>
      <c r="AE72" s="34"/>
      <c r="CI72" s="34"/>
      <c r="CJ72" s="34"/>
      <c r="CK72" s="45"/>
      <c r="CL72" s="34"/>
      <c r="CN72" s="46"/>
      <c r="CO72" s="34"/>
    </row>
    <row r="73" spans="2:100" ht="13.5" thickBot="1" x14ac:dyDescent="0.25">
      <c r="B73" s="5" t="s">
        <v>73</v>
      </c>
      <c r="C73" s="51" t="s">
        <v>46</v>
      </c>
      <c r="D73" s="81" t="s">
        <v>40</v>
      </c>
      <c r="E73" s="47"/>
      <c r="F73" s="48"/>
      <c r="G73" s="48"/>
      <c r="H73" s="48"/>
      <c r="I73" s="48"/>
      <c r="J73" s="41" t="s">
        <v>42</v>
      </c>
      <c r="K73" s="48"/>
      <c r="L73" s="48"/>
      <c r="M73" s="48"/>
      <c r="N73" s="48"/>
      <c r="O73" s="48"/>
      <c r="P73" s="49"/>
      <c r="T73" s="5" t="s">
        <v>73</v>
      </c>
      <c r="U73" s="51" t="s">
        <v>46</v>
      </c>
      <c r="V73" s="52" t="s">
        <v>40</v>
      </c>
      <c r="W73" s="47"/>
      <c r="X73" s="48"/>
      <c r="Y73" s="48"/>
      <c r="Z73" s="48"/>
      <c r="AA73" s="48"/>
      <c r="AB73" s="41" t="s">
        <v>42</v>
      </c>
      <c r="AC73" s="48"/>
      <c r="AD73" s="48"/>
      <c r="AE73" s="48"/>
      <c r="AF73" s="48"/>
      <c r="AG73" s="48"/>
      <c r="AH73" s="49"/>
      <c r="CI73" s="5" t="s">
        <v>73</v>
      </c>
      <c r="CJ73" s="83" t="s">
        <v>40</v>
      </c>
      <c r="CK73" s="47"/>
      <c r="CL73" s="48"/>
      <c r="CM73" s="48"/>
      <c r="CN73" s="48"/>
      <c r="CO73" s="48"/>
      <c r="CP73" s="41" t="s">
        <v>42</v>
      </c>
      <c r="CQ73" s="48"/>
      <c r="CR73" s="48"/>
      <c r="CS73" s="48"/>
      <c r="CT73" s="48"/>
      <c r="CU73" s="48"/>
      <c r="CV73" s="49"/>
    </row>
    <row r="74" spans="2:100" ht="13.5" thickBot="1" x14ac:dyDescent="0.25">
      <c r="B74" s="28"/>
      <c r="C74" s="69" t="s">
        <v>47</v>
      </c>
      <c r="D74" s="29" t="s">
        <v>41</v>
      </c>
      <c r="E74" s="80">
        <v>1</v>
      </c>
      <c r="F74" s="33">
        <v>2</v>
      </c>
      <c r="G74" s="33">
        <v>3</v>
      </c>
      <c r="H74" s="33">
        <v>4</v>
      </c>
      <c r="I74" s="33">
        <v>5</v>
      </c>
      <c r="J74" s="33">
        <v>6</v>
      </c>
      <c r="K74" s="33">
        <v>7</v>
      </c>
      <c r="L74" s="33">
        <v>8</v>
      </c>
      <c r="M74" s="33">
        <v>9</v>
      </c>
      <c r="N74" s="33">
        <v>10</v>
      </c>
      <c r="O74" s="33">
        <v>11</v>
      </c>
      <c r="P74" s="79">
        <v>12</v>
      </c>
      <c r="T74" s="28"/>
      <c r="U74" s="69" t="s">
        <v>47</v>
      </c>
      <c r="V74" s="55" t="s">
        <v>41</v>
      </c>
      <c r="W74" s="80">
        <v>1</v>
      </c>
      <c r="X74" s="33">
        <v>2</v>
      </c>
      <c r="Y74" s="33">
        <v>3</v>
      </c>
      <c r="Z74" s="33">
        <v>4</v>
      </c>
      <c r="AA74" s="33">
        <v>5</v>
      </c>
      <c r="AB74" s="33">
        <v>6</v>
      </c>
      <c r="AC74" s="33">
        <v>7</v>
      </c>
      <c r="AD74" s="33">
        <v>8</v>
      </c>
      <c r="AE74" s="33">
        <v>9</v>
      </c>
      <c r="AF74" s="33">
        <v>10</v>
      </c>
      <c r="AG74" s="33">
        <v>11</v>
      </c>
      <c r="AH74" s="79">
        <v>12</v>
      </c>
      <c r="CI74" s="57"/>
      <c r="CJ74" s="69" t="s">
        <v>41</v>
      </c>
      <c r="CK74" s="68">
        <v>1</v>
      </c>
      <c r="CL74" s="84">
        <v>2</v>
      </c>
      <c r="CM74" s="85">
        <v>3</v>
      </c>
      <c r="CN74" s="85">
        <v>4</v>
      </c>
      <c r="CO74" s="85">
        <v>5</v>
      </c>
      <c r="CP74" s="85">
        <v>6</v>
      </c>
      <c r="CQ74" s="85">
        <v>7</v>
      </c>
      <c r="CR74" s="85">
        <v>8</v>
      </c>
      <c r="CS74" s="85">
        <v>9</v>
      </c>
      <c r="CT74" s="85">
        <v>10</v>
      </c>
      <c r="CU74" s="85">
        <v>11</v>
      </c>
      <c r="CV74" s="86">
        <v>12</v>
      </c>
    </row>
    <row r="75" spans="2:100" x14ac:dyDescent="0.2">
      <c r="B75" s="5" t="s">
        <v>100</v>
      </c>
      <c r="C75" s="544">
        <f t="shared" ref="C75:C87" si="61">IF(D75=0,0,D75/$L$71)</f>
        <v>0</v>
      </c>
      <c r="D75" s="449">
        <f>IF(C69=0,0,SUM(E75:P75))</f>
        <v>0</v>
      </c>
      <c r="E75" s="1455"/>
      <c r="F75" s="1456"/>
      <c r="G75" s="1456"/>
      <c r="H75" s="1456"/>
      <c r="I75" s="1456"/>
      <c r="J75" s="1456"/>
      <c r="K75" s="1456"/>
      <c r="L75" s="1456"/>
      <c r="M75" s="1456"/>
      <c r="N75" s="1456"/>
      <c r="O75" s="1456"/>
      <c r="P75" s="1457"/>
      <c r="T75" s="44" t="s">
        <v>100</v>
      </c>
      <c r="U75" s="544">
        <f t="shared" ref="U75:U87" si="62">IF(V75=0,0,V75/$AD$71)</f>
        <v>0</v>
      </c>
      <c r="V75" s="449">
        <f>D75+D97+D53+D31</f>
        <v>0</v>
      </c>
      <c r="W75" s="740">
        <f>E75+E97+E53+E31</f>
        <v>0</v>
      </c>
      <c r="X75" s="741">
        <f t="shared" ref="X75:X87" si="63">F75+F97+F53+F31</f>
        <v>0</v>
      </c>
      <c r="Y75" s="438">
        <f t="shared" ref="Y75:Y87" si="64">G75+G97+G53+G31</f>
        <v>0</v>
      </c>
      <c r="Z75" s="438">
        <f t="shared" ref="Z75:Z87" si="65">H75+H97+H53+H31</f>
        <v>0</v>
      </c>
      <c r="AA75" s="438">
        <f t="shared" ref="AA75:AA87" si="66">I75+I97+I53+I31</f>
        <v>0</v>
      </c>
      <c r="AB75" s="438">
        <f t="shared" ref="AB75:AB87" si="67">J75+J97+J53+J31</f>
        <v>0</v>
      </c>
      <c r="AC75" s="438">
        <f t="shared" ref="AC75:AC87" si="68">K75+K97+K53+K31</f>
        <v>0</v>
      </c>
      <c r="AD75" s="438">
        <f t="shared" ref="AD75:AD87" si="69">L75+L97+L53+L31</f>
        <v>0</v>
      </c>
      <c r="AE75" s="438">
        <f t="shared" ref="AE75:AE87" si="70">M75+M97+M53+M31</f>
        <v>0</v>
      </c>
      <c r="AF75" s="438">
        <f t="shared" ref="AF75:AF87" si="71">N75+N97+N53+N31</f>
        <v>0</v>
      </c>
      <c r="AG75" s="438">
        <f t="shared" ref="AG75:AG87" si="72">O75+O97+O53+O31</f>
        <v>0</v>
      </c>
      <c r="AH75" s="439">
        <f t="shared" ref="AH75:AH87" si="73">P75+P97+P53+P31</f>
        <v>0</v>
      </c>
      <c r="CI75" s="5" t="s">
        <v>100</v>
      </c>
      <c r="CJ75" s="476">
        <f t="shared" ref="CJ75:CJ87" si="74">IF(D9=0,0,D207/D9)</f>
        <v>0</v>
      </c>
      <c r="CK75" s="467">
        <f t="shared" ref="CK75:CK87" si="75">IF(E9=0,0,E207/E9)</f>
        <v>0</v>
      </c>
      <c r="CL75" s="468">
        <f t="shared" ref="CL75:CL87" si="76">IF(F9=0,0,F207/F9)</f>
        <v>0</v>
      </c>
      <c r="CM75" s="468">
        <f t="shared" ref="CM75:CM87" si="77">IF(G9=0,0,G207/G9)</f>
        <v>0</v>
      </c>
      <c r="CN75" s="468">
        <f t="shared" ref="CN75:CN87" si="78">IF(H9=0,0,H207/H9)</f>
        <v>0</v>
      </c>
      <c r="CO75" s="468">
        <f t="shared" ref="CO75:CO87" si="79">IF(I9=0,0,I207/I9)</f>
        <v>0</v>
      </c>
      <c r="CP75" s="468">
        <f t="shared" ref="CP75:CP87" si="80">IF(J9=0,0,J207/J9)</f>
        <v>0</v>
      </c>
      <c r="CQ75" s="468">
        <f t="shared" ref="CQ75:CQ87" si="81">IF(K9=0,0,K207/K9)</f>
        <v>0</v>
      </c>
      <c r="CR75" s="468">
        <f t="shared" ref="CR75:CR87" si="82">IF(L9=0,0,L207/L9)</f>
        <v>0</v>
      </c>
      <c r="CS75" s="468">
        <f t="shared" ref="CS75:CS87" si="83">IF(M9=0,0,M207/M9)</f>
        <v>0</v>
      </c>
      <c r="CT75" s="468">
        <f t="shared" ref="CT75:CT87" si="84">IF(N9=0,0,N207/N9)</f>
        <v>0</v>
      </c>
      <c r="CU75" s="468">
        <f t="shared" ref="CU75:CU87" si="85">IF(O9=0,0,O207/O9)</f>
        <v>0</v>
      </c>
      <c r="CV75" s="469">
        <f t="shared" ref="CV75:CV87" si="86">IF(P9=0,0,P207/P9)</f>
        <v>0</v>
      </c>
    </row>
    <row r="76" spans="2:100" x14ac:dyDescent="0.2">
      <c r="B76" s="57" t="s">
        <v>108</v>
      </c>
      <c r="C76" s="501">
        <f t="shared" si="61"/>
        <v>0</v>
      </c>
      <c r="D76" s="450">
        <f>IF(C69=0,0,SUM(E76:P76))</f>
        <v>0</v>
      </c>
      <c r="E76" s="1458"/>
      <c r="F76" s="1459"/>
      <c r="G76" s="1459"/>
      <c r="H76" s="1459"/>
      <c r="I76" s="1459"/>
      <c r="J76" s="1459"/>
      <c r="K76" s="1459"/>
      <c r="L76" s="1459"/>
      <c r="M76" s="1459"/>
      <c r="N76" s="1459"/>
      <c r="O76" s="1459"/>
      <c r="P76" s="1460"/>
      <c r="T76" s="28" t="s">
        <v>108</v>
      </c>
      <c r="U76" s="501">
        <f t="shared" si="62"/>
        <v>0</v>
      </c>
      <c r="V76" s="450">
        <f t="shared" ref="V76:V87" si="87">D76+D98+D54+D32</f>
        <v>0</v>
      </c>
      <c r="W76" s="437">
        <f t="shared" ref="W76:X82" si="88">E76+E98+E54+E32</f>
        <v>0</v>
      </c>
      <c r="X76" s="438">
        <f t="shared" si="88"/>
        <v>0</v>
      </c>
      <c r="Y76" s="438">
        <f t="shared" si="64"/>
        <v>0</v>
      </c>
      <c r="Z76" s="438">
        <f t="shared" si="65"/>
        <v>0</v>
      </c>
      <c r="AA76" s="438">
        <f t="shared" si="66"/>
        <v>0</v>
      </c>
      <c r="AB76" s="438">
        <f t="shared" si="67"/>
        <v>0</v>
      </c>
      <c r="AC76" s="438">
        <f t="shared" si="68"/>
        <v>0</v>
      </c>
      <c r="AD76" s="438">
        <f t="shared" si="69"/>
        <v>0</v>
      </c>
      <c r="AE76" s="438">
        <f t="shared" si="70"/>
        <v>0</v>
      </c>
      <c r="AF76" s="438">
        <f t="shared" si="71"/>
        <v>0</v>
      </c>
      <c r="AG76" s="438">
        <f t="shared" si="72"/>
        <v>0</v>
      </c>
      <c r="AH76" s="439">
        <f t="shared" si="73"/>
        <v>0</v>
      </c>
      <c r="CI76" s="57" t="s">
        <v>108</v>
      </c>
      <c r="CJ76" s="477">
        <f t="shared" si="74"/>
        <v>0</v>
      </c>
      <c r="CK76" s="470">
        <f t="shared" si="75"/>
        <v>0</v>
      </c>
      <c r="CL76" s="471">
        <f t="shared" si="76"/>
        <v>0</v>
      </c>
      <c r="CM76" s="471">
        <f t="shared" si="77"/>
        <v>0</v>
      </c>
      <c r="CN76" s="471">
        <f t="shared" si="78"/>
        <v>0</v>
      </c>
      <c r="CO76" s="471">
        <f t="shared" si="79"/>
        <v>0</v>
      </c>
      <c r="CP76" s="471">
        <f t="shared" si="80"/>
        <v>0</v>
      </c>
      <c r="CQ76" s="471">
        <f t="shared" si="81"/>
        <v>0</v>
      </c>
      <c r="CR76" s="471">
        <f t="shared" si="82"/>
        <v>0</v>
      </c>
      <c r="CS76" s="471">
        <f t="shared" si="83"/>
        <v>0</v>
      </c>
      <c r="CT76" s="471">
        <f t="shared" si="84"/>
        <v>0</v>
      </c>
      <c r="CU76" s="471">
        <f t="shared" si="85"/>
        <v>0</v>
      </c>
      <c r="CV76" s="472">
        <f t="shared" si="86"/>
        <v>0</v>
      </c>
    </row>
    <row r="77" spans="2:100" x14ac:dyDescent="0.2">
      <c r="B77" s="57" t="s">
        <v>101</v>
      </c>
      <c r="C77" s="450">
        <f t="shared" si="61"/>
        <v>0</v>
      </c>
      <c r="D77" s="439">
        <f>IF(C69=0,0,SUM(E77:P77))</f>
        <v>0</v>
      </c>
      <c r="E77" s="1458"/>
      <c r="F77" s="1459"/>
      <c r="G77" s="1459"/>
      <c r="H77" s="1459"/>
      <c r="I77" s="1459"/>
      <c r="J77" s="1459"/>
      <c r="K77" s="1459"/>
      <c r="L77" s="1459"/>
      <c r="M77" s="1459"/>
      <c r="N77" s="1459"/>
      <c r="O77" s="1459"/>
      <c r="P77" s="1460"/>
      <c r="T77" s="28" t="s">
        <v>101</v>
      </c>
      <c r="U77" s="450">
        <f t="shared" si="62"/>
        <v>0</v>
      </c>
      <c r="V77" s="439">
        <f t="shared" si="87"/>
        <v>0</v>
      </c>
      <c r="W77" s="437">
        <f t="shared" si="88"/>
        <v>0</v>
      </c>
      <c r="X77" s="438">
        <f t="shared" si="88"/>
        <v>0</v>
      </c>
      <c r="Y77" s="438">
        <f t="shared" si="64"/>
        <v>0</v>
      </c>
      <c r="Z77" s="438">
        <f t="shared" si="65"/>
        <v>0</v>
      </c>
      <c r="AA77" s="438">
        <f t="shared" si="66"/>
        <v>0</v>
      </c>
      <c r="AB77" s="438">
        <f t="shared" si="67"/>
        <v>0</v>
      </c>
      <c r="AC77" s="438">
        <f t="shared" si="68"/>
        <v>0</v>
      </c>
      <c r="AD77" s="438">
        <f t="shared" si="69"/>
        <v>0</v>
      </c>
      <c r="AE77" s="438">
        <f t="shared" si="70"/>
        <v>0</v>
      </c>
      <c r="AF77" s="438">
        <f t="shared" si="71"/>
        <v>0</v>
      </c>
      <c r="AG77" s="438">
        <f t="shared" si="72"/>
        <v>0</v>
      </c>
      <c r="AH77" s="439">
        <f t="shared" si="73"/>
        <v>0</v>
      </c>
      <c r="CI77" s="57" t="s">
        <v>101</v>
      </c>
      <c r="CJ77" s="477">
        <f t="shared" si="74"/>
        <v>0</v>
      </c>
      <c r="CK77" s="470">
        <f t="shared" si="75"/>
        <v>0</v>
      </c>
      <c r="CL77" s="471">
        <f t="shared" si="76"/>
        <v>0</v>
      </c>
      <c r="CM77" s="471">
        <f t="shared" si="77"/>
        <v>0</v>
      </c>
      <c r="CN77" s="471">
        <f t="shared" si="78"/>
        <v>0</v>
      </c>
      <c r="CO77" s="471">
        <f t="shared" si="79"/>
        <v>0</v>
      </c>
      <c r="CP77" s="471">
        <f t="shared" si="80"/>
        <v>0</v>
      </c>
      <c r="CQ77" s="471">
        <f t="shared" si="81"/>
        <v>0</v>
      </c>
      <c r="CR77" s="471">
        <f t="shared" si="82"/>
        <v>0</v>
      </c>
      <c r="CS77" s="471">
        <f t="shared" si="83"/>
        <v>0</v>
      </c>
      <c r="CT77" s="471">
        <f t="shared" si="84"/>
        <v>0</v>
      </c>
      <c r="CU77" s="471">
        <f t="shared" si="85"/>
        <v>0</v>
      </c>
      <c r="CV77" s="472">
        <f t="shared" si="86"/>
        <v>0</v>
      </c>
    </row>
    <row r="78" spans="2:100" x14ac:dyDescent="0.2">
      <c r="B78" s="57" t="s">
        <v>102</v>
      </c>
      <c r="C78" s="450">
        <f t="shared" si="61"/>
        <v>0</v>
      </c>
      <c r="D78" s="439">
        <f>IF(C69=0,0,SUM(E78:P78))</f>
        <v>0</v>
      </c>
      <c r="E78" s="1461"/>
      <c r="F78" s="1462"/>
      <c r="G78" s="1462"/>
      <c r="H78" s="1462"/>
      <c r="I78" s="1462"/>
      <c r="J78" s="1462"/>
      <c r="K78" s="1462"/>
      <c r="L78" s="1462"/>
      <c r="M78" s="1462"/>
      <c r="N78" s="1462"/>
      <c r="O78" s="1462"/>
      <c r="P78" s="1463"/>
      <c r="T78" s="28" t="s">
        <v>102</v>
      </c>
      <c r="U78" s="450">
        <f t="shared" si="62"/>
        <v>0</v>
      </c>
      <c r="V78" s="439">
        <f t="shared" si="87"/>
        <v>0</v>
      </c>
      <c r="W78" s="437">
        <f t="shared" si="88"/>
        <v>0</v>
      </c>
      <c r="X78" s="438">
        <f t="shared" si="88"/>
        <v>0</v>
      </c>
      <c r="Y78" s="438">
        <f t="shared" si="64"/>
        <v>0</v>
      </c>
      <c r="Z78" s="438">
        <f t="shared" si="65"/>
        <v>0</v>
      </c>
      <c r="AA78" s="438">
        <f t="shared" si="66"/>
        <v>0</v>
      </c>
      <c r="AB78" s="438">
        <f t="shared" si="67"/>
        <v>0</v>
      </c>
      <c r="AC78" s="438">
        <f t="shared" si="68"/>
        <v>0</v>
      </c>
      <c r="AD78" s="438">
        <f t="shared" si="69"/>
        <v>0</v>
      </c>
      <c r="AE78" s="438">
        <f t="shared" si="70"/>
        <v>0</v>
      </c>
      <c r="AF78" s="438">
        <f t="shared" si="71"/>
        <v>0</v>
      </c>
      <c r="AG78" s="438">
        <f t="shared" si="72"/>
        <v>0</v>
      </c>
      <c r="AH78" s="439">
        <f t="shared" si="73"/>
        <v>0</v>
      </c>
      <c r="AJ78" t="s">
        <v>1</v>
      </c>
      <c r="CI78" s="57" t="s">
        <v>102</v>
      </c>
      <c r="CJ78" s="477">
        <f t="shared" si="74"/>
        <v>0</v>
      </c>
      <c r="CK78" s="470">
        <f t="shared" si="75"/>
        <v>0</v>
      </c>
      <c r="CL78" s="471">
        <f t="shared" si="76"/>
        <v>0</v>
      </c>
      <c r="CM78" s="471">
        <f t="shared" si="77"/>
        <v>0</v>
      </c>
      <c r="CN78" s="471">
        <f t="shared" si="78"/>
        <v>0</v>
      </c>
      <c r="CO78" s="471">
        <f t="shared" si="79"/>
        <v>0</v>
      </c>
      <c r="CP78" s="471">
        <f t="shared" si="80"/>
        <v>0</v>
      </c>
      <c r="CQ78" s="471">
        <f t="shared" si="81"/>
        <v>0</v>
      </c>
      <c r="CR78" s="471">
        <f t="shared" si="82"/>
        <v>0</v>
      </c>
      <c r="CS78" s="471">
        <f t="shared" si="83"/>
        <v>0</v>
      </c>
      <c r="CT78" s="471">
        <f t="shared" si="84"/>
        <v>0</v>
      </c>
      <c r="CU78" s="471">
        <f t="shared" si="85"/>
        <v>0</v>
      </c>
      <c r="CV78" s="472">
        <f t="shared" si="86"/>
        <v>0</v>
      </c>
    </row>
    <row r="79" spans="2:100" x14ac:dyDescent="0.2">
      <c r="B79" s="57" t="s">
        <v>103</v>
      </c>
      <c r="C79" s="450">
        <f t="shared" si="61"/>
        <v>0</v>
      </c>
      <c r="D79" s="439">
        <f>IF(C69=0,0,SUM(E79:P79))</f>
        <v>0</v>
      </c>
      <c r="E79" s="1461"/>
      <c r="F79" s="1462"/>
      <c r="G79" s="1462"/>
      <c r="H79" s="1462"/>
      <c r="I79" s="1462"/>
      <c r="J79" s="1462"/>
      <c r="K79" s="1462"/>
      <c r="L79" s="1462"/>
      <c r="M79" s="1462"/>
      <c r="N79" s="1462"/>
      <c r="O79" s="1462"/>
      <c r="P79" s="1463"/>
      <c r="T79" s="28" t="s">
        <v>103</v>
      </c>
      <c r="U79" s="450">
        <f t="shared" si="62"/>
        <v>0</v>
      </c>
      <c r="V79" s="439">
        <f t="shared" si="87"/>
        <v>0</v>
      </c>
      <c r="W79" s="437">
        <f t="shared" si="88"/>
        <v>0</v>
      </c>
      <c r="X79" s="438">
        <f t="shared" si="88"/>
        <v>0</v>
      </c>
      <c r="Y79" s="438">
        <f t="shared" si="64"/>
        <v>0</v>
      </c>
      <c r="Z79" s="438">
        <f t="shared" si="65"/>
        <v>0</v>
      </c>
      <c r="AA79" s="438">
        <f t="shared" si="66"/>
        <v>0</v>
      </c>
      <c r="AB79" s="438">
        <f t="shared" si="67"/>
        <v>0</v>
      </c>
      <c r="AC79" s="438">
        <f t="shared" si="68"/>
        <v>0</v>
      </c>
      <c r="AD79" s="438">
        <f t="shared" si="69"/>
        <v>0</v>
      </c>
      <c r="AE79" s="438">
        <f t="shared" si="70"/>
        <v>0</v>
      </c>
      <c r="AF79" s="438">
        <f t="shared" si="71"/>
        <v>0</v>
      </c>
      <c r="AG79" s="438">
        <f t="shared" si="72"/>
        <v>0</v>
      </c>
      <c r="AH79" s="439">
        <f t="shared" si="73"/>
        <v>0</v>
      </c>
      <c r="CI79" s="57" t="s">
        <v>103</v>
      </c>
      <c r="CJ79" s="477">
        <f t="shared" si="74"/>
        <v>0</v>
      </c>
      <c r="CK79" s="470">
        <f t="shared" si="75"/>
        <v>0</v>
      </c>
      <c r="CL79" s="471">
        <f t="shared" si="76"/>
        <v>0</v>
      </c>
      <c r="CM79" s="471">
        <f t="shared" si="77"/>
        <v>0</v>
      </c>
      <c r="CN79" s="471">
        <f t="shared" si="78"/>
        <v>0</v>
      </c>
      <c r="CO79" s="471">
        <f t="shared" si="79"/>
        <v>0</v>
      </c>
      <c r="CP79" s="471">
        <f t="shared" si="80"/>
        <v>0</v>
      </c>
      <c r="CQ79" s="471">
        <f t="shared" si="81"/>
        <v>0</v>
      </c>
      <c r="CR79" s="471">
        <f t="shared" si="82"/>
        <v>0</v>
      </c>
      <c r="CS79" s="471">
        <f t="shared" si="83"/>
        <v>0</v>
      </c>
      <c r="CT79" s="471">
        <f t="shared" si="84"/>
        <v>0</v>
      </c>
      <c r="CU79" s="471">
        <f t="shared" si="85"/>
        <v>0</v>
      </c>
      <c r="CV79" s="472">
        <f t="shared" si="86"/>
        <v>0</v>
      </c>
    </row>
    <row r="80" spans="2:100" x14ac:dyDescent="0.2">
      <c r="B80" s="57" t="s">
        <v>104</v>
      </c>
      <c r="C80" s="450">
        <f t="shared" si="61"/>
        <v>0</v>
      </c>
      <c r="D80" s="439">
        <f>IF(C69=0,0,SUM(E80:P80))</f>
        <v>0</v>
      </c>
      <c r="E80" s="1461"/>
      <c r="F80" s="1462"/>
      <c r="G80" s="1462"/>
      <c r="H80" s="1462"/>
      <c r="I80" s="1462"/>
      <c r="J80" s="1462"/>
      <c r="K80" s="1462"/>
      <c r="L80" s="1462"/>
      <c r="M80" s="1462"/>
      <c r="N80" s="1462"/>
      <c r="O80" s="1462"/>
      <c r="P80" s="1463"/>
      <c r="T80" s="28" t="s">
        <v>104</v>
      </c>
      <c r="U80" s="450">
        <f t="shared" si="62"/>
        <v>0</v>
      </c>
      <c r="V80" s="439">
        <f t="shared" si="87"/>
        <v>0</v>
      </c>
      <c r="W80" s="437">
        <f t="shared" si="88"/>
        <v>0</v>
      </c>
      <c r="X80" s="438">
        <f t="shared" si="88"/>
        <v>0</v>
      </c>
      <c r="Y80" s="438">
        <f t="shared" si="64"/>
        <v>0</v>
      </c>
      <c r="Z80" s="438">
        <f t="shared" si="65"/>
        <v>0</v>
      </c>
      <c r="AA80" s="438">
        <f t="shared" si="66"/>
        <v>0</v>
      </c>
      <c r="AB80" s="438">
        <f t="shared" ref="AB80:AC86" si="89">J80+J102+J58+J36</f>
        <v>0</v>
      </c>
      <c r="AC80" s="438">
        <f t="shared" si="89"/>
        <v>0</v>
      </c>
      <c r="AD80" s="438">
        <f t="shared" si="69"/>
        <v>0</v>
      </c>
      <c r="AE80" s="438">
        <f t="shared" si="70"/>
        <v>0</v>
      </c>
      <c r="AF80" s="438">
        <f t="shared" si="71"/>
        <v>0</v>
      </c>
      <c r="AG80" s="438">
        <f t="shared" si="72"/>
        <v>0</v>
      </c>
      <c r="AH80" s="439">
        <f t="shared" si="73"/>
        <v>0</v>
      </c>
      <c r="CI80" s="57" t="s">
        <v>104</v>
      </c>
      <c r="CJ80" s="477">
        <f t="shared" si="74"/>
        <v>0</v>
      </c>
      <c r="CK80" s="470">
        <f t="shared" si="75"/>
        <v>0</v>
      </c>
      <c r="CL80" s="471">
        <f t="shared" si="76"/>
        <v>0</v>
      </c>
      <c r="CM80" s="471">
        <f t="shared" si="77"/>
        <v>0</v>
      </c>
      <c r="CN80" s="471">
        <f t="shared" si="78"/>
        <v>0</v>
      </c>
      <c r="CO80" s="471">
        <f t="shared" si="79"/>
        <v>0</v>
      </c>
      <c r="CP80" s="471">
        <f t="shared" si="80"/>
        <v>0</v>
      </c>
      <c r="CQ80" s="471">
        <f t="shared" si="81"/>
        <v>0</v>
      </c>
      <c r="CR80" s="471">
        <f t="shared" si="82"/>
        <v>0</v>
      </c>
      <c r="CS80" s="471">
        <f t="shared" si="83"/>
        <v>0</v>
      </c>
      <c r="CT80" s="471">
        <f t="shared" si="84"/>
        <v>0</v>
      </c>
      <c r="CU80" s="471">
        <f t="shared" si="85"/>
        <v>0</v>
      </c>
      <c r="CV80" s="472">
        <f t="shared" si="86"/>
        <v>0</v>
      </c>
    </row>
    <row r="81" spans="2:100" x14ac:dyDescent="0.2">
      <c r="B81" s="57" t="s">
        <v>105</v>
      </c>
      <c r="C81" s="450">
        <f t="shared" si="61"/>
        <v>0</v>
      </c>
      <c r="D81" s="439">
        <f>IF(C69=0,0,SUM(E81:P81))</f>
        <v>0</v>
      </c>
      <c r="E81" s="1461"/>
      <c r="F81" s="1462"/>
      <c r="G81" s="1462"/>
      <c r="H81" s="1462"/>
      <c r="I81" s="1462"/>
      <c r="J81" s="1462"/>
      <c r="K81" s="1462"/>
      <c r="L81" s="1462"/>
      <c r="M81" s="1462"/>
      <c r="N81" s="1462"/>
      <c r="O81" s="1462"/>
      <c r="P81" s="1463"/>
      <c r="T81" s="28" t="s">
        <v>105</v>
      </c>
      <c r="U81" s="450">
        <f t="shared" si="62"/>
        <v>0</v>
      </c>
      <c r="V81" s="439">
        <f t="shared" si="87"/>
        <v>0</v>
      </c>
      <c r="W81" s="437">
        <f t="shared" si="88"/>
        <v>0</v>
      </c>
      <c r="X81" s="438">
        <f t="shared" si="88"/>
        <v>0</v>
      </c>
      <c r="Y81" s="438">
        <f t="shared" si="64"/>
        <v>0</v>
      </c>
      <c r="Z81" s="438">
        <f t="shared" si="65"/>
        <v>0</v>
      </c>
      <c r="AA81" s="438">
        <f t="shared" si="66"/>
        <v>0</v>
      </c>
      <c r="AB81" s="438">
        <f t="shared" si="89"/>
        <v>0</v>
      </c>
      <c r="AC81" s="438">
        <f t="shared" si="89"/>
        <v>0</v>
      </c>
      <c r="AD81" s="438">
        <f t="shared" si="69"/>
        <v>0</v>
      </c>
      <c r="AE81" s="438">
        <f t="shared" si="70"/>
        <v>0</v>
      </c>
      <c r="AF81" s="438">
        <f t="shared" si="71"/>
        <v>0</v>
      </c>
      <c r="AG81" s="438">
        <f t="shared" si="72"/>
        <v>0</v>
      </c>
      <c r="AH81" s="439">
        <f t="shared" si="73"/>
        <v>0</v>
      </c>
      <c r="CI81" s="57" t="s">
        <v>105</v>
      </c>
      <c r="CJ81" s="477">
        <f t="shared" si="74"/>
        <v>0</v>
      </c>
      <c r="CK81" s="470">
        <f t="shared" si="75"/>
        <v>0</v>
      </c>
      <c r="CL81" s="471">
        <f t="shared" si="76"/>
        <v>0</v>
      </c>
      <c r="CM81" s="471">
        <f t="shared" si="77"/>
        <v>0</v>
      </c>
      <c r="CN81" s="471">
        <f t="shared" si="78"/>
        <v>0</v>
      </c>
      <c r="CO81" s="471">
        <f t="shared" si="79"/>
        <v>0</v>
      </c>
      <c r="CP81" s="471">
        <f t="shared" si="80"/>
        <v>0</v>
      </c>
      <c r="CQ81" s="471">
        <f t="shared" si="81"/>
        <v>0</v>
      </c>
      <c r="CR81" s="471">
        <f t="shared" si="82"/>
        <v>0</v>
      </c>
      <c r="CS81" s="471">
        <f t="shared" si="83"/>
        <v>0</v>
      </c>
      <c r="CT81" s="471">
        <f t="shared" si="84"/>
        <v>0</v>
      </c>
      <c r="CU81" s="471">
        <f t="shared" si="85"/>
        <v>0</v>
      </c>
      <c r="CV81" s="472">
        <f t="shared" si="86"/>
        <v>0</v>
      </c>
    </row>
    <row r="82" spans="2:100" x14ac:dyDescent="0.2">
      <c r="B82" s="57" t="s">
        <v>106</v>
      </c>
      <c r="C82" s="450">
        <f t="shared" si="61"/>
        <v>0</v>
      </c>
      <c r="D82" s="439">
        <f>IF(C69=0,0,SUM(E82:P82))</f>
        <v>0</v>
      </c>
      <c r="E82" s="1461"/>
      <c r="F82" s="1462"/>
      <c r="G82" s="1462"/>
      <c r="H82" s="1462"/>
      <c r="I82" s="1462"/>
      <c r="J82" s="1462"/>
      <c r="K82" s="1462"/>
      <c r="L82" s="1462"/>
      <c r="M82" s="1462"/>
      <c r="N82" s="1462"/>
      <c r="O82" s="1462"/>
      <c r="P82" s="1463"/>
      <c r="T82" s="28" t="s">
        <v>106</v>
      </c>
      <c r="U82" s="450">
        <f t="shared" si="62"/>
        <v>0</v>
      </c>
      <c r="V82" s="439">
        <f t="shared" si="87"/>
        <v>0</v>
      </c>
      <c r="W82" s="437">
        <f t="shared" si="88"/>
        <v>0</v>
      </c>
      <c r="X82" s="438">
        <f t="shared" si="88"/>
        <v>0</v>
      </c>
      <c r="Y82" s="438">
        <f t="shared" si="64"/>
        <v>0</v>
      </c>
      <c r="Z82" s="438">
        <f t="shared" si="65"/>
        <v>0</v>
      </c>
      <c r="AA82" s="438">
        <f t="shared" si="66"/>
        <v>0</v>
      </c>
      <c r="AB82" s="438">
        <f t="shared" si="89"/>
        <v>0</v>
      </c>
      <c r="AC82" s="438">
        <f t="shared" si="89"/>
        <v>0</v>
      </c>
      <c r="AD82" s="438">
        <f t="shared" si="69"/>
        <v>0</v>
      </c>
      <c r="AE82" s="438">
        <f t="shared" si="70"/>
        <v>0</v>
      </c>
      <c r="AF82" s="438">
        <f t="shared" si="71"/>
        <v>0</v>
      </c>
      <c r="AG82" s="438">
        <f t="shared" si="72"/>
        <v>0</v>
      </c>
      <c r="AH82" s="439">
        <f t="shared" si="73"/>
        <v>0</v>
      </c>
      <c r="CI82" s="57" t="s">
        <v>106</v>
      </c>
      <c r="CJ82" s="477">
        <f t="shared" si="74"/>
        <v>0</v>
      </c>
      <c r="CK82" s="470">
        <f t="shared" si="75"/>
        <v>0</v>
      </c>
      <c r="CL82" s="471">
        <f t="shared" si="76"/>
        <v>0</v>
      </c>
      <c r="CM82" s="471">
        <f t="shared" si="77"/>
        <v>0</v>
      </c>
      <c r="CN82" s="471">
        <f t="shared" si="78"/>
        <v>0</v>
      </c>
      <c r="CO82" s="471">
        <f t="shared" si="79"/>
        <v>0</v>
      </c>
      <c r="CP82" s="471">
        <f t="shared" si="80"/>
        <v>0</v>
      </c>
      <c r="CQ82" s="471">
        <f t="shared" si="81"/>
        <v>0</v>
      </c>
      <c r="CR82" s="471">
        <f t="shared" si="82"/>
        <v>0</v>
      </c>
      <c r="CS82" s="471">
        <f t="shared" si="83"/>
        <v>0</v>
      </c>
      <c r="CT82" s="471">
        <f t="shared" si="84"/>
        <v>0</v>
      </c>
      <c r="CU82" s="471">
        <f t="shared" si="85"/>
        <v>0</v>
      </c>
      <c r="CV82" s="472">
        <f t="shared" si="86"/>
        <v>0</v>
      </c>
    </row>
    <row r="83" spans="2:100" x14ac:dyDescent="0.2">
      <c r="B83" s="57" t="s">
        <v>37</v>
      </c>
      <c r="C83" s="450">
        <f t="shared" si="61"/>
        <v>0</v>
      </c>
      <c r="D83" s="439">
        <f>IF(C69=0,0,SUM(E83:P83))</f>
        <v>0</v>
      </c>
      <c r="E83" s="1461"/>
      <c r="F83" s="1462"/>
      <c r="G83" s="1462"/>
      <c r="H83" s="1462"/>
      <c r="I83" s="1462"/>
      <c r="J83" s="1462"/>
      <c r="K83" s="1462"/>
      <c r="L83" s="1462"/>
      <c r="M83" s="1462"/>
      <c r="N83" s="1462"/>
      <c r="O83" s="1462"/>
      <c r="P83" s="1463"/>
      <c r="T83" s="28" t="s">
        <v>37</v>
      </c>
      <c r="U83" s="450">
        <f t="shared" si="62"/>
        <v>0</v>
      </c>
      <c r="V83" s="439">
        <f t="shared" si="87"/>
        <v>0</v>
      </c>
      <c r="W83" s="437">
        <f>E83+E105+E61+E39</f>
        <v>0</v>
      </c>
      <c r="X83" s="438">
        <f t="shared" si="63"/>
        <v>0</v>
      </c>
      <c r="Y83" s="438">
        <f t="shared" si="64"/>
        <v>0</v>
      </c>
      <c r="Z83" s="438">
        <f t="shared" si="65"/>
        <v>0</v>
      </c>
      <c r="AA83" s="438">
        <f t="shared" si="66"/>
        <v>0</v>
      </c>
      <c r="AB83" s="438">
        <f t="shared" si="89"/>
        <v>0</v>
      </c>
      <c r="AC83" s="438">
        <f t="shared" si="89"/>
        <v>0</v>
      </c>
      <c r="AD83" s="438">
        <f t="shared" si="69"/>
        <v>0</v>
      </c>
      <c r="AE83" s="438">
        <f t="shared" si="70"/>
        <v>0</v>
      </c>
      <c r="AF83" s="438">
        <f t="shared" si="71"/>
        <v>0</v>
      </c>
      <c r="AG83" s="438">
        <f t="shared" si="72"/>
        <v>0</v>
      </c>
      <c r="AH83" s="439">
        <f t="shared" si="73"/>
        <v>0</v>
      </c>
      <c r="CI83" s="57" t="s">
        <v>37</v>
      </c>
      <c r="CJ83" s="477">
        <f t="shared" si="74"/>
        <v>0</v>
      </c>
      <c r="CK83" s="470">
        <f t="shared" si="75"/>
        <v>0</v>
      </c>
      <c r="CL83" s="471">
        <f t="shared" si="76"/>
        <v>0</v>
      </c>
      <c r="CM83" s="471">
        <f t="shared" si="77"/>
        <v>0</v>
      </c>
      <c r="CN83" s="471">
        <f t="shared" si="78"/>
        <v>0</v>
      </c>
      <c r="CO83" s="471">
        <f t="shared" si="79"/>
        <v>0</v>
      </c>
      <c r="CP83" s="471">
        <f t="shared" si="80"/>
        <v>0</v>
      </c>
      <c r="CQ83" s="471">
        <f t="shared" si="81"/>
        <v>0</v>
      </c>
      <c r="CR83" s="471">
        <f t="shared" si="82"/>
        <v>0</v>
      </c>
      <c r="CS83" s="471">
        <f t="shared" si="83"/>
        <v>0</v>
      </c>
      <c r="CT83" s="471">
        <f t="shared" si="84"/>
        <v>0</v>
      </c>
      <c r="CU83" s="471">
        <f t="shared" si="85"/>
        <v>0</v>
      </c>
      <c r="CV83" s="472">
        <f t="shared" si="86"/>
        <v>0</v>
      </c>
    </row>
    <row r="84" spans="2:100" x14ac:dyDescent="0.2">
      <c r="B84" s="57" t="s">
        <v>36</v>
      </c>
      <c r="C84" s="450">
        <f t="shared" si="61"/>
        <v>0</v>
      </c>
      <c r="D84" s="439">
        <f>IF(C69=0,0,SUM(E84:P84))</f>
        <v>0</v>
      </c>
      <c r="E84" s="1464"/>
      <c r="F84" s="1465"/>
      <c r="G84" s="1465"/>
      <c r="H84" s="1465"/>
      <c r="I84" s="1465"/>
      <c r="J84" s="1465"/>
      <c r="K84" s="1465"/>
      <c r="L84" s="1465"/>
      <c r="M84" s="1465"/>
      <c r="N84" s="1465"/>
      <c r="O84" s="1465"/>
      <c r="P84" s="1466"/>
      <c r="T84" s="28" t="s">
        <v>36</v>
      </c>
      <c r="U84" s="450">
        <f t="shared" si="62"/>
        <v>0</v>
      </c>
      <c r="V84" s="439">
        <f t="shared" si="87"/>
        <v>0</v>
      </c>
      <c r="W84" s="437">
        <f>E84+E106+E62+E40</f>
        <v>0</v>
      </c>
      <c r="X84" s="438">
        <f t="shared" si="63"/>
        <v>0</v>
      </c>
      <c r="Y84" s="438">
        <f t="shared" si="64"/>
        <v>0</v>
      </c>
      <c r="Z84" s="438">
        <f t="shared" si="65"/>
        <v>0</v>
      </c>
      <c r="AA84" s="438">
        <f t="shared" si="66"/>
        <v>0</v>
      </c>
      <c r="AB84" s="438">
        <f t="shared" si="89"/>
        <v>0</v>
      </c>
      <c r="AC84" s="438">
        <f t="shared" si="89"/>
        <v>0</v>
      </c>
      <c r="AD84" s="438">
        <f t="shared" si="69"/>
        <v>0</v>
      </c>
      <c r="AE84" s="438">
        <f t="shared" si="70"/>
        <v>0</v>
      </c>
      <c r="AF84" s="438">
        <f t="shared" si="71"/>
        <v>0</v>
      </c>
      <c r="AG84" s="438">
        <f t="shared" si="72"/>
        <v>0</v>
      </c>
      <c r="AH84" s="439">
        <f t="shared" si="73"/>
        <v>0</v>
      </c>
      <c r="CI84" s="57" t="s">
        <v>36</v>
      </c>
      <c r="CJ84" s="477">
        <f t="shared" si="74"/>
        <v>0</v>
      </c>
      <c r="CK84" s="470">
        <f t="shared" si="75"/>
        <v>0</v>
      </c>
      <c r="CL84" s="471">
        <f t="shared" si="76"/>
        <v>0</v>
      </c>
      <c r="CM84" s="471">
        <f t="shared" si="77"/>
        <v>0</v>
      </c>
      <c r="CN84" s="471">
        <f t="shared" si="78"/>
        <v>0</v>
      </c>
      <c r="CO84" s="471">
        <f t="shared" si="79"/>
        <v>0</v>
      </c>
      <c r="CP84" s="471">
        <f t="shared" si="80"/>
        <v>0</v>
      </c>
      <c r="CQ84" s="471">
        <f t="shared" si="81"/>
        <v>0</v>
      </c>
      <c r="CR84" s="471">
        <f t="shared" si="82"/>
        <v>0</v>
      </c>
      <c r="CS84" s="471">
        <f t="shared" si="83"/>
        <v>0</v>
      </c>
      <c r="CT84" s="471">
        <f t="shared" si="84"/>
        <v>0</v>
      </c>
      <c r="CU84" s="471">
        <f t="shared" si="85"/>
        <v>0</v>
      </c>
      <c r="CV84" s="472">
        <f t="shared" si="86"/>
        <v>0</v>
      </c>
    </row>
    <row r="85" spans="2:100" x14ac:dyDescent="0.2">
      <c r="B85" s="57" t="s">
        <v>94</v>
      </c>
      <c r="C85" s="450">
        <f t="shared" si="61"/>
        <v>0</v>
      </c>
      <c r="D85" s="486">
        <f>IF(C69=0,0,SUM(E85:P85))</f>
        <v>0</v>
      </c>
      <c r="E85" s="1464"/>
      <c r="F85" s="1465"/>
      <c r="G85" s="1465"/>
      <c r="H85" s="1465"/>
      <c r="I85" s="1465"/>
      <c r="J85" s="1465"/>
      <c r="K85" s="1465"/>
      <c r="L85" s="1465"/>
      <c r="M85" s="1465"/>
      <c r="N85" s="1465"/>
      <c r="O85" s="1465"/>
      <c r="P85" s="1466"/>
      <c r="T85" s="28" t="s">
        <v>94</v>
      </c>
      <c r="U85" s="450">
        <f t="shared" si="62"/>
        <v>0</v>
      </c>
      <c r="V85" s="486">
        <f t="shared" si="87"/>
        <v>0</v>
      </c>
      <c r="W85" s="437">
        <f>E85+E107+E63+E41</f>
        <v>0</v>
      </c>
      <c r="X85" s="438">
        <f t="shared" si="63"/>
        <v>0</v>
      </c>
      <c r="Y85" s="438">
        <f t="shared" si="64"/>
        <v>0</v>
      </c>
      <c r="Z85" s="438">
        <f t="shared" si="65"/>
        <v>0</v>
      </c>
      <c r="AA85" s="438">
        <f t="shared" si="66"/>
        <v>0</v>
      </c>
      <c r="AB85" s="438">
        <f t="shared" si="89"/>
        <v>0</v>
      </c>
      <c r="AC85" s="438">
        <f t="shared" si="89"/>
        <v>0</v>
      </c>
      <c r="AD85" s="438">
        <f t="shared" si="69"/>
        <v>0</v>
      </c>
      <c r="AE85" s="438">
        <f t="shared" si="70"/>
        <v>0</v>
      </c>
      <c r="AF85" s="438">
        <f t="shared" si="71"/>
        <v>0</v>
      </c>
      <c r="AG85" s="438">
        <f t="shared" si="72"/>
        <v>0</v>
      </c>
      <c r="AH85" s="439">
        <f t="shared" si="73"/>
        <v>0</v>
      </c>
      <c r="CI85" s="57" t="s">
        <v>94</v>
      </c>
      <c r="CJ85" s="477">
        <f t="shared" si="74"/>
        <v>0</v>
      </c>
      <c r="CK85" s="470">
        <f t="shared" si="75"/>
        <v>0</v>
      </c>
      <c r="CL85" s="471">
        <f t="shared" si="76"/>
        <v>0</v>
      </c>
      <c r="CM85" s="471">
        <f t="shared" si="77"/>
        <v>0</v>
      </c>
      <c r="CN85" s="471">
        <f t="shared" si="78"/>
        <v>0</v>
      </c>
      <c r="CO85" s="471">
        <f t="shared" si="79"/>
        <v>0</v>
      </c>
      <c r="CP85" s="471">
        <f t="shared" si="80"/>
        <v>0</v>
      </c>
      <c r="CQ85" s="471">
        <f t="shared" si="81"/>
        <v>0</v>
      </c>
      <c r="CR85" s="471">
        <f t="shared" si="82"/>
        <v>0</v>
      </c>
      <c r="CS85" s="471">
        <f t="shared" si="83"/>
        <v>0</v>
      </c>
      <c r="CT85" s="471">
        <f t="shared" si="84"/>
        <v>0</v>
      </c>
      <c r="CU85" s="471">
        <f t="shared" si="85"/>
        <v>0</v>
      </c>
      <c r="CV85" s="472">
        <f t="shared" si="86"/>
        <v>0</v>
      </c>
    </row>
    <row r="86" spans="2:100" ht="13.5" thickBot="1" x14ac:dyDescent="0.25">
      <c r="B86" s="40" t="s">
        <v>93</v>
      </c>
      <c r="C86" s="498">
        <f t="shared" si="61"/>
        <v>0</v>
      </c>
      <c r="D86" s="512">
        <f>IF(C69=0,0,SUM(E86:P86))</f>
        <v>0</v>
      </c>
      <c r="E86" s="1464"/>
      <c r="F86" s="1465"/>
      <c r="G86" s="1465"/>
      <c r="H86" s="1465"/>
      <c r="I86" s="1465"/>
      <c r="J86" s="1465"/>
      <c r="K86" s="1465"/>
      <c r="L86" s="1465"/>
      <c r="M86" s="1465"/>
      <c r="N86" s="1465"/>
      <c r="O86" s="1465"/>
      <c r="P86" s="1466"/>
      <c r="T86" s="54" t="s">
        <v>93</v>
      </c>
      <c r="U86" s="498">
        <f t="shared" si="62"/>
        <v>0</v>
      </c>
      <c r="V86" s="512">
        <f t="shared" si="87"/>
        <v>0</v>
      </c>
      <c r="W86" s="484">
        <f>E86+E108+E64+E42</f>
        <v>0</v>
      </c>
      <c r="X86" s="485">
        <f t="shared" si="63"/>
        <v>0</v>
      </c>
      <c r="Y86" s="485">
        <f t="shared" si="64"/>
        <v>0</v>
      </c>
      <c r="Z86" s="485">
        <f t="shared" si="65"/>
        <v>0</v>
      </c>
      <c r="AA86" s="485">
        <f t="shared" si="66"/>
        <v>0</v>
      </c>
      <c r="AB86" s="485">
        <f t="shared" si="89"/>
        <v>0</v>
      </c>
      <c r="AC86" s="485">
        <f t="shared" si="89"/>
        <v>0</v>
      </c>
      <c r="AD86" s="485">
        <f t="shared" si="69"/>
        <v>0</v>
      </c>
      <c r="AE86" s="485">
        <f t="shared" si="70"/>
        <v>0</v>
      </c>
      <c r="AF86" s="485">
        <f t="shared" si="71"/>
        <v>0</v>
      </c>
      <c r="AG86" s="485">
        <f t="shared" si="72"/>
        <v>0</v>
      </c>
      <c r="AH86" s="486">
        <f t="shared" si="73"/>
        <v>0</v>
      </c>
      <c r="CI86" s="40" t="s">
        <v>93</v>
      </c>
      <c r="CJ86" s="478">
        <f t="shared" si="74"/>
        <v>0</v>
      </c>
      <c r="CK86" s="473">
        <f t="shared" si="75"/>
        <v>0</v>
      </c>
      <c r="CL86" s="474">
        <f t="shared" si="76"/>
        <v>0</v>
      </c>
      <c r="CM86" s="474">
        <f t="shared" si="77"/>
        <v>0</v>
      </c>
      <c r="CN86" s="474">
        <f t="shared" si="78"/>
        <v>0</v>
      </c>
      <c r="CO86" s="474">
        <f t="shared" si="79"/>
        <v>0</v>
      </c>
      <c r="CP86" s="474">
        <f t="shared" si="80"/>
        <v>0</v>
      </c>
      <c r="CQ86" s="474">
        <f t="shared" si="81"/>
        <v>0</v>
      </c>
      <c r="CR86" s="474">
        <f t="shared" si="82"/>
        <v>0</v>
      </c>
      <c r="CS86" s="474">
        <f t="shared" si="83"/>
        <v>0</v>
      </c>
      <c r="CT86" s="474">
        <f t="shared" si="84"/>
        <v>0</v>
      </c>
      <c r="CU86" s="474">
        <f t="shared" si="85"/>
        <v>0</v>
      </c>
      <c r="CV86" s="475">
        <f t="shared" si="86"/>
        <v>0</v>
      </c>
    </row>
    <row r="87" spans="2:100" ht="13.5" thickBot="1" x14ac:dyDescent="0.25">
      <c r="B87" s="54" t="s">
        <v>107</v>
      </c>
      <c r="C87" s="416">
        <f t="shared" si="61"/>
        <v>0</v>
      </c>
      <c r="D87" s="423">
        <f>IF(C69=0,0,SUM(E87:P87))</f>
        <v>0</v>
      </c>
      <c r="E87" s="461">
        <f t="shared" ref="E87:P87" si="90">SUM(E75:E86)</f>
        <v>0</v>
      </c>
      <c r="F87" s="453">
        <f t="shared" si="90"/>
        <v>0</v>
      </c>
      <c r="G87" s="453">
        <f t="shared" si="90"/>
        <v>0</v>
      </c>
      <c r="H87" s="453">
        <f t="shared" si="90"/>
        <v>0</v>
      </c>
      <c r="I87" s="453">
        <f t="shared" si="90"/>
        <v>0</v>
      </c>
      <c r="J87" s="453">
        <f t="shared" si="90"/>
        <v>0</v>
      </c>
      <c r="K87" s="453">
        <f t="shared" si="90"/>
        <v>0</v>
      </c>
      <c r="L87" s="453">
        <f>SUM(L75:L86)</f>
        <v>0</v>
      </c>
      <c r="M87" s="453">
        <f>SUM(M75:M86)</f>
        <v>0</v>
      </c>
      <c r="N87" s="453">
        <f t="shared" si="90"/>
        <v>0</v>
      </c>
      <c r="O87" s="453">
        <f t="shared" si="90"/>
        <v>0</v>
      </c>
      <c r="P87" s="454">
        <f t="shared" si="90"/>
        <v>0</v>
      </c>
      <c r="T87" s="30" t="s">
        <v>107</v>
      </c>
      <c r="U87" s="416">
        <f t="shared" si="62"/>
        <v>0</v>
      </c>
      <c r="V87" s="423">
        <f t="shared" si="87"/>
        <v>0</v>
      </c>
      <c r="W87" s="461">
        <f>E87+E109+E65+E43</f>
        <v>0</v>
      </c>
      <c r="X87" s="453">
        <f t="shared" si="63"/>
        <v>0</v>
      </c>
      <c r="Y87" s="453">
        <f t="shared" si="64"/>
        <v>0</v>
      </c>
      <c r="Z87" s="453">
        <f t="shared" si="65"/>
        <v>0</v>
      </c>
      <c r="AA87" s="453">
        <f t="shared" si="66"/>
        <v>0</v>
      </c>
      <c r="AB87" s="453">
        <f t="shared" si="67"/>
        <v>0</v>
      </c>
      <c r="AC87" s="453">
        <f t="shared" si="68"/>
        <v>0</v>
      </c>
      <c r="AD87" s="453">
        <f t="shared" si="69"/>
        <v>0</v>
      </c>
      <c r="AE87" s="453">
        <f t="shared" si="70"/>
        <v>0</v>
      </c>
      <c r="AF87" s="453">
        <f t="shared" si="71"/>
        <v>0</v>
      </c>
      <c r="AG87" s="453">
        <f t="shared" si="72"/>
        <v>0</v>
      </c>
      <c r="AH87" s="454">
        <f t="shared" si="73"/>
        <v>0</v>
      </c>
      <c r="CI87" s="8" t="s">
        <v>107</v>
      </c>
      <c r="CJ87" s="479">
        <f t="shared" si="74"/>
        <v>0</v>
      </c>
      <c r="CK87" s="480">
        <f t="shared" si="75"/>
        <v>0</v>
      </c>
      <c r="CL87" s="481">
        <f t="shared" si="76"/>
        <v>0</v>
      </c>
      <c r="CM87" s="481">
        <f t="shared" si="77"/>
        <v>0</v>
      </c>
      <c r="CN87" s="481">
        <f t="shared" si="78"/>
        <v>0</v>
      </c>
      <c r="CO87" s="481">
        <f t="shared" si="79"/>
        <v>0</v>
      </c>
      <c r="CP87" s="481">
        <f t="shared" si="80"/>
        <v>0</v>
      </c>
      <c r="CQ87" s="481">
        <f t="shared" si="81"/>
        <v>0</v>
      </c>
      <c r="CR87" s="481">
        <f t="shared" si="82"/>
        <v>0</v>
      </c>
      <c r="CS87" s="481">
        <f t="shared" si="83"/>
        <v>0</v>
      </c>
      <c r="CT87" s="481">
        <f t="shared" si="84"/>
        <v>0</v>
      </c>
      <c r="CU87" s="481">
        <f t="shared" si="85"/>
        <v>0</v>
      </c>
      <c r="CV87" s="482">
        <f t="shared" si="86"/>
        <v>0</v>
      </c>
    </row>
    <row r="88" spans="2:100" ht="21.75" customHeight="1" thickBot="1" x14ac:dyDescent="0.25"/>
    <row r="89" spans="2:100" ht="24" thickBot="1" x14ac:dyDescent="0.4">
      <c r="B89" s="735" t="str">
        <f>'2.1 Verkkopyynti'!Y4</f>
        <v>Verkko1</v>
      </c>
      <c r="C89" s="736"/>
      <c r="D89" s="736" t="str">
        <f>'2.1 Verkkopyynti'!Z4</f>
        <v>Syksy</v>
      </c>
      <c r="E89" s="736"/>
      <c r="F89" s="736"/>
      <c r="G89" s="736"/>
      <c r="H89" s="736"/>
      <c r="I89" s="739"/>
      <c r="T89" s="735" t="str">
        <f>'2.1 Verkkopyynti'!D62</f>
        <v>Verkko2</v>
      </c>
      <c r="U89" s="736"/>
      <c r="V89" s="736" t="s">
        <v>107</v>
      </c>
      <c r="W89" s="377"/>
      <c r="X89" s="377"/>
      <c r="Y89" s="377"/>
      <c r="Z89" s="377"/>
      <c r="AA89" s="734"/>
      <c r="CI89" s="735" t="str">
        <f>T133</f>
        <v>Isorysä2</v>
      </c>
      <c r="CJ89" s="736"/>
      <c r="CK89" s="735"/>
      <c r="CL89" s="377"/>
      <c r="CM89" s="377"/>
      <c r="CN89" s="377"/>
      <c r="CO89" s="377"/>
      <c r="CP89" s="734"/>
    </row>
    <row r="90" spans="2:100" ht="24" thickBot="1" x14ac:dyDescent="0.4">
      <c r="B90" s="39"/>
      <c r="C90" s="39"/>
      <c r="D90" s="43"/>
      <c r="T90" s="39"/>
      <c r="U90" s="39"/>
      <c r="V90" s="43"/>
      <c r="CI90" s="39"/>
      <c r="CJ90" s="39"/>
      <c r="CK90" s="43"/>
    </row>
    <row r="91" spans="2:100" ht="20.25" customHeight="1" thickBot="1" x14ac:dyDescent="0.4">
      <c r="B91" s="30" t="s">
        <v>39</v>
      </c>
      <c r="C91" s="446">
        <f>'2.1 Verkkopyynti'!AB6</f>
        <v>0</v>
      </c>
      <c r="D91" s="8" t="s">
        <v>15</v>
      </c>
      <c r="E91" s="41"/>
      <c r="F91" s="42"/>
      <c r="G91" s="8" t="s">
        <v>5</v>
      </c>
      <c r="H91" s="10"/>
      <c r="I91" s="18"/>
      <c r="J91" s="18"/>
      <c r="K91" s="18"/>
      <c r="L91" s="10"/>
      <c r="T91" s="30" t="s">
        <v>39</v>
      </c>
      <c r="U91" s="455">
        <f>IF((F114+F136+F158+F180)=0,0,((C113*F114+C135*F136+C157*F158+C179*F180)/(F114+F136+F158+F180)))</f>
        <v>0</v>
      </c>
      <c r="V91" s="8" t="s">
        <v>15</v>
      </c>
      <c r="W91" s="41"/>
      <c r="X91" s="42"/>
      <c r="Y91" s="8" t="s">
        <v>5</v>
      </c>
      <c r="Z91" s="10"/>
      <c r="AA91" s="18"/>
      <c r="AB91" s="18"/>
      <c r="AC91" s="18"/>
      <c r="AD91" s="10"/>
      <c r="CI91" s="30" t="s">
        <v>39</v>
      </c>
      <c r="CJ91" s="455">
        <f>U135</f>
        <v>0</v>
      </c>
      <c r="CK91" s="8" t="s">
        <v>15</v>
      </c>
      <c r="CL91" s="41"/>
      <c r="CM91" s="42"/>
      <c r="CN91" s="8" t="s">
        <v>5</v>
      </c>
      <c r="CO91" s="38"/>
      <c r="CP91" s="18"/>
      <c r="CQ91" s="18"/>
      <c r="CR91" s="18"/>
      <c r="CS91" s="10"/>
      <c r="CU91" s="34"/>
    </row>
    <row r="92" spans="2:100" ht="20.100000000000001" customHeight="1" thickBot="1" x14ac:dyDescent="0.25">
      <c r="B92" s="30" t="s">
        <v>2</v>
      </c>
      <c r="C92" s="1134" t="str">
        <f>IF(C91=0,"0",'2.1 Verkkopyynti'!Z9)</f>
        <v>0</v>
      </c>
      <c r="D92" s="8" t="s">
        <v>4</v>
      </c>
      <c r="E92" s="10"/>
      <c r="F92" s="455">
        <f>'2.1 Verkkopyynti'!AB10</f>
        <v>0</v>
      </c>
      <c r="G92" s="8" t="s">
        <v>6</v>
      </c>
      <c r="H92" s="18"/>
      <c r="I92" s="41"/>
      <c r="J92" s="18"/>
      <c r="K92" s="10"/>
      <c r="L92" s="446">
        <f>IF(C91=0,0,'2.1 Verkkopyynti'!Z13)</f>
        <v>0</v>
      </c>
      <c r="T92" s="30" t="s">
        <v>2</v>
      </c>
      <c r="U92" s="1134" t="str">
        <f>IF(U91=0,"0",MIN(C114,C136,C158,C180))</f>
        <v>0</v>
      </c>
      <c r="V92" s="8" t="s">
        <v>4</v>
      </c>
      <c r="W92" s="10"/>
      <c r="X92" s="455">
        <f>F114+F136+F158+F180</f>
        <v>0</v>
      </c>
      <c r="Y92" s="8" t="s">
        <v>6</v>
      </c>
      <c r="Z92" s="18"/>
      <c r="AA92" s="41"/>
      <c r="AB92" s="18"/>
      <c r="AC92" s="10"/>
      <c r="AD92" s="456">
        <f>IF(U91=0,0,AD93/(X92/7))</f>
        <v>0</v>
      </c>
      <c r="CI92" s="30" t="s">
        <v>2</v>
      </c>
      <c r="CJ92" s="1134" t="str">
        <f>U136</f>
        <v>0</v>
      </c>
      <c r="CK92" s="8" t="s">
        <v>43</v>
      </c>
      <c r="CL92" s="10"/>
      <c r="CM92" s="447">
        <f>X136</f>
        <v>0</v>
      </c>
      <c r="CN92" s="8" t="s">
        <v>6</v>
      </c>
      <c r="CO92" s="18"/>
      <c r="CP92" s="41"/>
      <c r="CQ92" s="18"/>
      <c r="CR92" s="10"/>
      <c r="CS92" s="456">
        <f>AD136</f>
        <v>0</v>
      </c>
      <c r="CU92" s="34"/>
    </row>
    <row r="93" spans="2:100" ht="13.5" thickBot="1" x14ac:dyDescent="0.25">
      <c r="B93" s="30" t="s">
        <v>3</v>
      </c>
      <c r="C93" s="1134" t="str">
        <f>IF(C91=0,"0",'2.1 Verkkopyynti'!Z10)</f>
        <v>0</v>
      </c>
      <c r="D93" s="8" t="s">
        <v>38</v>
      </c>
      <c r="E93" s="10"/>
      <c r="F93" s="456">
        <f>F92/30</f>
        <v>0</v>
      </c>
      <c r="G93" s="40" t="s">
        <v>26</v>
      </c>
      <c r="H93" s="14"/>
      <c r="I93" s="14"/>
      <c r="J93" s="14"/>
      <c r="K93" s="17"/>
      <c r="L93" s="457">
        <f>'2.1 Verkkopyynti'!Z14</f>
        <v>0</v>
      </c>
      <c r="T93" s="30" t="s">
        <v>3</v>
      </c>
      <c r="U93" s="1134" t="str">
        <f>IF(U91=0,"0",MAX(C115,C137,C159,C181))</f>
        <v>0</v>
      </c>
      <c r="V93" s="8" t="s">
        <v>38</v>
      </c>
      <c r="W93" s="10"/>
      <c r="X93" s="456">
        <f>X92/30</f>
        <v>0</v>
      </c>
      <c r="Y93" s="40" t="s">
        <v>26</v>
      </c>
      <c r="Z93" s="14"/>
      <c r="AA93" s="14"/>
      <c r="AB93" s="14"/>
      <c r="AC93" s="17"/>
      <c r="AD93" s="457">
        <f>L115+L137+L159+L181</f>
        <v>0</v>
      </c>
      <c r="CI93" s="30" t="s">
        <v>3</v>
      </c>
      <c r="CJ93" s="1134" t="str">
        <f>U137</f>
        <v>0</v>
      </c>
      <c r="CK93" s="8" t="s">
        <v>44</v>
      </c>
      <c r="CL93" s="10"/>
      <c r="CM93" s="447">
        <f>X137</f>
        <v>0</v>
      </c>
      <c r="CN93" s="40" t="s">
        <v>26</v>
      </c>
      <c r="CO93" s="14"/>
      <c r="CP93" s="14"/>
      <c r="CQ93" s="14"/>
      <c r="CR93" s="17"/>
      <c r="CS93" s="455">
        <f>AD137</f>
        <v>0</v>
      </c>
    </row>
    <row r="94" spans="2:100" ht="13.5" customHeight="1" thickBot="1" x14ac:dyDescent="0.25">
      <c r="T94" s="34"/>
      <c r="U94" s="34"/>
      <c r="V94" s="45"/>
      <c r="W94" s="34"/>
      <c r="Y94" s="46"/>
      <c r="Z94" s="34"/>
      <c r="AE94" s="34"/>
      <c r="CI94" s="34"/>
      <c r="CJ94" s="34"/>
      <c r="CK94" s="45"/>
      <c r="CL94" s="34"/>
      <c r="CN94" s="46"/>
      <c r="CO94" s="34"/>
    </row>
    <row r="95" spans="2:100" ht="13.5" thickBot="1" x14ac:dyDescent="0.25">
      <c r="B95" s="5" t="s">
        <v>73</v>
      </c>
      <c r="C95" s="51" t="s">
        <v>46</v>
      </c>
      <c r="D95" s="52" t="s">
        <v>40</v>
      </c>
      <c r="E95" s="47"/>
      <c r="F95" s="48"/>
      <c r="G95" s="48"/>
      <c r="H95" s="48"/>
      <c r="I95" s="48"/>
      <c r="J95" s="41" t="s">
        <v>42</v>
      </c>
      <c r="K95" s="48"/>
      <c r="L95" s="48"/>
      <c r="M95" s="48"/>
      <c r="N95" s="48"/>
      <c r="O95" s="48"/>
      <c r="P95" s="49"/>
      <c r="T95" s="5" t="s">
        <v>73</v>
      </c>
      <c r="U95" s="51" t="s">
        <v>46</v>
      </c>
      <c r="V95" s="52" t="s">
        <v>40</v>
      </c>
      <c r="W95" s="47"/>
      <c r="X95" s="48"/>
      <c r="Y95" s="48"/>
      <c r="Z95" s="48"/>
      <c r="AA95" s="48"/>
      <c r="AB95" s="41" t="s">
        <v>42</v>
      </c>
      <c r="AC95" s="48"/>
      <c r="AD95" s="48"/>
      <c r="AE95" s="48"/>
      <c r="AF95" s="48"/>
      <c r="AG95" s="48"/>
      <c r="AH95" s="49"/>
      <c r="CI95" s="5" t="s">
        <v>73</v>
      </c>
      <c r="CJ95" s="83" t="s">
        <v>40</v>
      </c>
      <c r="CK95" s="47"/>
      <c r="CL95" s="48"/>
      <c r="CM95" s="48"/>
      <c r="CN95" s="48"/>
      <c r="CO95" s="48"/>
      <c r="CP95" s="41" t="s">
        <v>42</v>
      </c>
      <c r="CQ95" s="48"/>
      <c r="CR95" s="48"/>
      <c r="CS95" s="48"/>
      <c r="CT95" s="48"/>
      <c r="CU95" s="48"/>
      <c r="CV95" s="49"/>
    </row>
    <row r="96" spans="2:100" ht="13.5" thickBot="1" x14ac:dyDescent="0.25">
      <c r="B96" s="28"/>
      <c r="C96" s="69" t="s">
        <v>47</v>
      </c>
      <c r="D96" s="55" t="s">
        <v>41</v>
      </c>
      <c r="E96" s="78">
        <v>1</v>
      </c>
      <c r="F96" s="70">
        <v>2</v>
      </c>
      <c r="G96" s="70">
        <v>3</v>
      </c>
      <c r="H96" s="70">
        <v>4</v>
      </c>
      <c r="I96" s="70">
        <v>5</v>
      </c>
      <c r="J96" s="70">
        <v>6</v>
      </c>
      <c r="K96" s="70">
        <v>7</v>
      </c>
      <c r="L96" s="70">
        <v>8</v>
      </c>
      <c r="M96" s="70">
        <v>9</v>
      </c>
      <c r="N96" s="70">
        <v>10</v>
      </c>
      <c r="O96" s="70">
        <v>11</v>
      </c>
      <c r="P96" s="71">
        <v>12</v>
      </c>
      <c r="T96" s="28"/>
      <c r="U96" s="69" t="s">
        <v>47</v>
      </c>
      <c r="V96" s="55" t="s">
        <v>41</v>
      </c>
      <c r="W96" s="80">
        <v>1</v>
      </c>
      <c r="X96" s="33">
        <v>2</v>
      </c>
      <c r="Y96" s="33">
        <v>3</v>
      </c>
      <c r="Z96" s="33">
        <v>4</v>
      </c>
      <c r="AA96" s="33">
        <v>5</v>
      </c>
      <c r="AB96" s="33">
        <v>6</v>
      </c>
      <c r="AC96" s="33">
        <v>7</v>
      </c>
      <c r="AD96" s="33">
        <v>8</v>
      </c>
      <c r="AE96" s="33">
        <v>9</v>
      </c>
      <c r="AF96" s="33">
        <v>10</v>
      </c>
      <c r="AG96" s="33">
        <v>11</v>
      </c>
      <c r="AH96" s="79">
        <v>12</v>
      </c>
      <c r="CI96" s="57"/>
      <c r="CJ96" s="69" t="s">
        <v>41</v>
      </c>
      <c r="CK96" s="68">
        <v>1</v>
      </c>
      <c r="CL96" s="84">
        <v>2</v>
      </c>
      <c r="CM96" s="85">
        <v>3</v>
      </c>
      <c r="CN96" s="85">
        <v>4</v>
      </c>
      <c r="CO96" s="85">
        <v>5</v>
      </c>
      <c r="CP96" s="85">
        <v>6</v>
      </c>
      <c r="CQ96" s="85">
        <v>7</v>
      </c>
      <c r="CR96" s="85">
        <v>8</v>
      </c>
      <c r="CS96" s="85">
        <v>9</v>
      </c>
      <c r="CT96" s="85">
        <v>10</v>
      </c>
      <c r="CU96" s="85">
        <v>11</v>
      </c>
      <c r="CV96" s="86">
        <v>12</v>
      </c>
    </row>
    <row r="97" spans="2:100" x14ac:dyDescent="0.2">
      <c r="B97" s="5" t="s">
        <v>100</v>
      </c>
      <c r="C97" s="544">
        <f t="shared" ref="C97:C109" si="91">IF(D97=0,0,D97/$L$93)</f>
        <v>0</v>
      </c>
      <c r="D97" s="449">
        <f>IF(C91=0,0,SUM(E97:P97))</f>
        <v>0</v>
      </c>
      <c r="E97" s="1455"/>
      <c r="F97" s="1456"/>
      <c r="G97" s="1456"/>
      <c r="H97" s="1456"/>
      <c r="I97" s="1456"/>
      <c r="J97" s="1456"/>
      <c r="K97" s="1456"/>
      <c r="L97" s="1456"/>
      <c r="M97" s="1456"/>
      <c r="N97" s="1456"/>
      <c r="O97" s="1456"/>
      <c r="P97" s="1457"/>
      <c r="T97" s="44" t="s">
        <v>100</v>
      </c>
      <c r="U97" s="544">
        <f t="shared" ref="U97:U109" si="92">IF(V97=0,0,V97/$AD$93)</f>
        <v>0</v>
      </c>
      <c r="V97" s="449">
        <f>D119+D141+D163+D185</f>
        <v>0</v>
      </c>
      <c r="W97" s="740">
        <f t="shared" ref="W97:W109" si="93">E119+E141+E163+E185</f>
        <v>0</v>
      </c>
      <c r="X97" s="741">
        <f t="shared" ref="X97:X109" si="94">F119+F141+F163+F185</f>
        <v>0</v>
      </c>
      <c r="Y97" s="438">
        <f t="shared" ref="Y97:Y109" si="95">G119+G141+G163+G185</f>
        <v>0</v>
      </c>
      <c r="Z97" s="438">
        <f t="shared" ref="Z97:Z109" si="96">H119+H141+H163+H185</f>
        <v>0</v>
      </c>
      <c r="AA97" s="438">
        <f t="shared" ref="AA97:AA109" si="97">I119+I141+I163+I185</f>
        <v>0</v>
      </c>
      <c r="AB97" s="438">
        <f t="shared" ref="AB97:AB109" si="98">J119+J141+J163+J185</f>
        <v>0</v>
      </c>
      <c r="AC97" s="438">
        <f t="shared" ref="AC97:AC109" si="99">K119+K141+K163+K185</f>
        <v>0</v>
      </c>
      <c r="AD97" s="438">
        <f t="shared" ref="AD97:AD109" si="100">L119+L141+L163+L185</f>
        <v>0</v>
      </c>
      <c r="AE97" s="438">
        <f t="shared" ref="AE97:AE109" si="101">M119+M141+M163+M185</f>
        <v>0</v>
      </c>
      <c r="AF97" s="438">
        <f t="shared" ref="AF97:AF109" si="102">N119+N141+N163+N185</f>
        <v>0</v>
      </c>
      <c r="AG97" s="438">
        <f t="shared" ref="AG97:AG109" si="103">O119+O141+O163+O185</f>
        <v>0</v>
      </c>
      <c r="AH97" s="439">
        <f t="shared" ref="AH97:AH109" si="104">P119+P141+P163+P185</f>
        <v>0</v>
      </c>
      <c r="CI97" s="5" t="s">
        <v>100</v>
      </c>
      <c r="CJ97" s="476">
        <f t="shared" ref="CJ97:CJ109" si="105">IF(D9=0,0,D229/D9)</f>
        <v>0</v>
      </c>
      <c r="CK97" s="467">
        <f t="shared" ref="CK97:CK109" si="106">IF(E9=0,0,E229/E9)</f>
        <v>0</v>
      </c>
      <c r="CL97" s="468">
        <f t="shared" ref="CL97:CL109" si="107">IF(F9=0,0,F229/F9)</f>
        <v>0</v>
      </c>
      <c r="CM97" s="468">
        <f t="shared" ref="CM97:CM109" si="108">IF(G9=0,0,G229/G9)</f>
        <v>0</v>
      </c>
      <c r="CN97" s="468">
        <f t="shared" ref="CN97:CN109" si="109">IF(H9=0,0,H229/H9)</f>
        <v>0</v>
      </c>
      <c r="CO97" s="468">
        <f t="shared" ref="CO97:CO109" si="110">IF(I9=0,0,I229/I9)</f>
        <v>0</v>
      </c>
      <c r="CP97" s="468">
        <f t="shared" ref="CP97:CP109" si="111">IF(J9=0,0,J229/J9)</f>
        <v>0</v>
      </c>
      <c r="CQ97" s="468">
        <f t="shared" ref="CQ97:CQ109" si="112">IF(K9=0,0,K229/K9)</f>
        <v>0</v>
      </c>
      <c r="CR97" s="468">
        <f t="shared" ref="CR97:CR109" si="113">IF(L9=0,0,L229/L9)</f>
        <v>0</v>
      </c>
      <c r="CS97" s="468">
        <f t="shared" ref="CS97:CS109" si="114">IF(M9=0,0,M229/M9)</f>
        <v>0</v>
      </c>
      <c r="CT97" s="468">
        <f t="shared" ref="CT97:CT109" si="115">IF(N9=0,0,N229/N9)</f>
        <v>0</v>
      </c>
      <c r="CU97" s="468">
        <f t="shared" ref="CU97:CU109" si="116">IF(O9=0,0,O229/O9)</f>
        <v>0</v>
      </c>
      <c r="CV97" s="469">
        <f t="shared" ref="CV97:CV109" si="117">IF(P9=0,0,P229/P9)</f>
        <v>0</v>
      </c>
    </row>
    <row r="98" spans="2:100" x14ac:dyDescent="0.2">
      <c r="B98" s="57" t="s">
        <v>108</v>
      </c>
      <c r="C98" s="501">
        <f t="shared" si="91"/>
        <v>0</v>
      </c>
      <c r="D98" s="450">
        <f>IF(C91=0,0,SUM(E98:P98))</f>
        <v>0</v>
      </c>
      <c r="E98" s="1458"/>
      <c r="F98" s="1459"/>
      <c r="G98" s="1459"/>
      <c r="H98" s="1459"/>
      <c r="I98" s="1459"/>
      <c r="J98" s="1459"/>
      <c r="K98" s="1459"/>
      <c r="L98" s="1459"/>
      <c r="M98" s="1459"/>
      <c r="N98" s="1459"/>
      <c r="O98" s="1459"/>
      <c r="P98" s="1460"/>
      <c r="T98" s="28" t="s">
        <v>108</v>
      </c>
      <c r="U98" s="501">
        <f t="shared" si="92"/>
        <v>0</v>
      </c>
      <c r="V98" s="450">
        <f t="shared" ref="V98:V109" si="118">D120+D142+D164+D186</f>
        <v>0</v>
      </c>
      <c r="W98" s="437">
        <f t="shared" si="93"/>
        <v>0</v>
      </c>
      <c r="X98" s="438">
        <f t="shared" si="94"/>
        <v>0</v>
      </c>
      <c r="Y98" s="438">
        <f t="shared" si="95"/>
        <v>0</v>
      </c>
      <c r="Z98" s="438">
        <f t="shared" si="96"/>
        <v>0</v>
      </c>
      <c r="AA98" s="438">
        <f t="shared" si="97"/>
        <v>0</v>
      </c>
      <c r="AB98" s="438">
        <f t="shared" si="98"/>
        <v>0</v>
      </c>
      <c r="AC98" s="438">
        <f t="shared" si="99"/>
        <v>0</v>
      </c>
      <c r="AD98" s="438">
        <f t="shared" si="100"/>
        <v>0</v>
      </c>
      <c r="AE98" s="438">
        <f t="shared" si="101"/>
        <v>0</v>
      </c>
      <c r="AF98" s="438">
        <f t="shared" si="102"/>
        <v>0</v>
      </c>
      <c r="AG98" s="438">
        <f t="shared" si="103"/>
        <v>0</v>
      </c>
      <c r="AH98" s="439">
        <f t="shared" si="104"/>
        <v>0</v>
      </c>
      <c r="CI98" s="57" t="s">
        <v>108</v>
      </c>
      <c r="CJ98" s="477">
        <f t="shared" si="105"/>
        <v>0</v>
      </c>
      <c r="CK98" s="470">
        <f t="shared" si="106"/>
        <v>0</v>
      </c>
      <c r="CL98" s="471">
        <f t="shared" si="107"/>
        <v>0</v>
      </c>
      <c r="CM98" s="471">
        <f t="shared" si="108"/>
        <v>0</v>
      </c>
      <c r="CN98" s="471">
        <f t="shared" si="109"/>
        <v>0</v>
      </c>
      <c r="CO98" s="471">
        <f t="shared" si="110"/>
        <v>0</v>
      </c>
      <c r="CP98" s="471">
        <f t="shared" si="111"/>
        <v>0</v>
      </c>
      <c r="CQ98" s="471">
        <f t="shared" si="112"/>
        <v>0</v>
      </c>
      <c r="CR98" s="471">
        <f t="shared" si="113"/>
        <v>0</v>
      </c>
      <c r="CS98" s="471">
        <f t="shared" si="114"/>
        <v>0</v>
      </c>
      <c r="CT98" s="471">
        <f t="shared" si="115"/>
        <v>0</v>
      </c>
      <c r="CU98" s="471">
        <f t="shared" si="116"/>
        <v>0</v>
      </c>
      <c r="CV98" s="472">
        <f t="shared" si="117"/>
        <v>0</v>
      </c>
    </row>
    <row r="99" spans="2:100" x14ac:dyDescent="0.2">
      <c r="B99" s="57" t="s">
        <v>101</v>
      </c>
      <c r="C99" s="450">
        <f t="shared" si="91"/>
        <v>0</v>
      </c>
      <c r="D99" s="439">
        <f>IF(C91=0,0,SUM(E99:P99))</f>
        <v>0</v>
      </c>
      <c r="E99" s="1458"/>
      <c r="F99" s="1459"/>
      <c r="G99" s="1459"/>
      <c r="H99" s="1459"/>
      <c r="I99" s="1459"/>
      <c r="J99" s="1459"/>
      <c r="K99" s="1459"/>
      <c r="L99" s="1459"/>
      <c r="M99" s="1459"/>
      <c r="N99" s="1459"/>
      <c r="O99" s="1459"/>
      <c r="P99" s="1460"/>
      <c r="T99" s="28" t="s">
        <v>101</v>
      </c>
      <c r="U99" s="450">
        <f t="shared" si="92"/>
        <v>0</v>
      </c>
      <c r="V99" s="439">
        <f t="shared" si="118"/>
        <v>0</v>
      </c>
      <c r="W99" s="437">
        <f t="shared" si="93"/>
        <v>0</v>
      </c>
      <c r="X99" s="438">
        <f t="shared" si="94"/>
        <v>0</v>
      </c>
      <c r="Y99" s="438">
        <f t="shared" si="95"/>
        <v>0</v>
      </c>
      <c r="Z99" s="438">
        <f t="shared" si="96"/>
        <v>0</v>
      </c>
      <c r="AA99" s="438">
        <f t="shared" si="97"/>
        <v>0</v>
      </c>
      <c r="AB99" s="438">
        <f t="shared" si="98"/>
        <v>0</v>
      </c>
      <c r="AC99" s="438">
        <f t="shared" si="99"/>
        <v>0</v>
      </c>
      <c r="AD99" s="438">
        <f t="shared" si="100"/>
        <v>0</v>
      </c>
      <c r="AE99" s="438">
        <f t="shared" si="101"/>
        <v>0</v>
      </c>
      <c r="AF99" s="438">
        <f t="shared" si="102"/>
        <v>0</v>
      </c>
      <c r="AG99" s="438">
        <f t="shared" si="103"/>
        <v>0</v>
      </c>
      <c r="AH99" s="439">
        <f t="shared" si="104"/>
        <v>0</v>
      </c>
      <c r="CI99" s="57" t="s">
        <v>101</v>
      </c>
      <c r="CJ99" s="477">
        <f t="shared" si="105"/>
        <v>0</v>
      </c>
      <c r="CK99" s="470">
        <f t="shared" si="106"/>
        <v>0</v>
      </c>
      <c r="CL99" s="471">
        <f t="shared" si="107"/>
        <v>0</v>
      </c>
      <c r="CM99" s="471">
        <f t="shared" si="108"/>
        <v>0</v>
      </c>
      <c r="CN99" s="471">
        <f t="shared" si="109"/>
        <v>0</v>
      </c>
      <c r="CO99" s="471">
        <f t="shared" si="110"/>
        <v>0</v>
      </c>
      <c r="CP99" s="471">
        <f t="shared" si="111"/>
        <v>0</v>
      </c>
      <c r="CQ99" s="471">
        <f t="shared" si="112"/>
        <v>0</v>
      </c>
      <c r="CR99" s="471">
        <f t="shared" si="113"/>
        <v>0</v>
      </c>
      <c r="CS99" s="471">
        <f t="shared" si="114"/>
        <v>0</v>
      </c>
      <c r="CT99" s="471">
        <f t="shared" si="115"/>
        <v>0</v>
      </c>
      <c r="CU99" s="471">
        <f t="shared" si="116"/>
        <v>0</v>
      </c>
      <c r="CV99" s="472">
        <f t="shared" si="117"/>
        <v>0</v>
      </c>
    </row>
    <row r="100" spans="2:100" x14ac:dyDescent="0.2">
      <c r="B100" s="57" t="s">
        <v>102</v>
      </c>
      <c r="C100" s="450">
        <f t="shared" si="91"/>
        <v>0</v>
      </c>
      <c r="D100" s="439">
        <f>IF(C91=0,0,SUM(E100:P100))</f>
        <v>0</v>
      </c>
      <c r="E100" s="1461"/>
      <c r="F100" s="1462"/>
      <c r="G100" s="1462"/>
      <c r="H100" s="1462"/>
      <c r="I100" s="1462"/>
      <c r="J100" s="1462"/>
      <c r="K100" s="1462"/>
      <c r="L100" s="1462"/>
      <c r="M100" s="1462"/>
      <c r="N100" s="1462"/>
      <c r="O100" s="1462"/>
      <c r="P100" s="1463"/>
      <c r="T100" s="28" t="s">
        <v>102</v>
      </c>
      <c r="U100" s="450">
        <f t="shared" si="92"/>
        <v>0</v>
      </c>
      <c r="V100" s="439">
        <f t="shared" si="118"/>
        <v>0</v>
      </c>
      <c r="W100" s="437">
        <f t="shared" si="93"/>
        <v>0</v>
      </c>
      <c r="X100" s="438">
        <f t="shared" si="94"/>
        <v>0</v>
      </c>
      <c r="Y100" s="438">
        <f t="shared" si="95"/>
        <v>0</v>
      </c>
      <c r="Z100" s="438">
        <f t="shared" si="96"/>
        <v>0</v>
      </c>
      <c r="AA100" s="438">
        <f t="shared" si="97"/>
        <v>0</v>
      </c>
      <c r="AB100" s="438">
        <f t="shared" si="98"/>
        <v>0</v>
      </c>
      <c r="AC100" s="438">
        <f t="shared" si="99"/>
        <v>0</v>
      </c>
      <c r="AD100" s="438">
        <f t="shared" si="100"/>
        <v>0</v>
      </c>
      <c r="AE100" s="438">
        <f t="shared" si="101"/>
        <v>0</v>
      </c>
      <c r="AF100" s="438">
        <f t="shared" si="102"/>
        <v>0</v>
      </c>
      <c r="AG100" s="438">
        <f t="shared" si="103"/>
        <v>0</v>
      </c>
      <c r="AH100" s="439">
        <f t="shared" si="104"/>
        <v>0</v>
      </c>
      <c r="CI100" s="57" t="s">
        <v>102</v>
      </c>
      <c r="CJ100" s="477">
        <f t="shared" si="105"/>
        <v>0</v>
      </c>
      <c r="CK100" s="470">
        <f t="shared" si="106"/>
        <v>0</v>
      </c>
      <c r="CL100" s="471">
        <f t="shared" si="107"/>
        <v>0</v>
      </c>
      <c r="CM100" s="471">
        <f t="shared" si="108"/>
        <v>0</v>
      </c>
      <c r="CN100" s="471">
        <f t="shared" si="109"/>
        <v>0</v>
      </c>
      <c r="CO100" s="471">
        <f t="shared" si="110"/>
        <v>0</v>
      </c>
      <c r="CP100" s="471">
        <f t="shared" si="111"/>
        <v>0</v>
      </c>
      <c r="CQ100" s="471">
        <f t="shared" si="112"/>
        <v>0</v>
      </c>
      <c r="CR100" s="471">
        <f t="shared" si="113"/>
        <v>0</v>
      </c>
      <c r="CS100" s="471">
        <f t="shared" si="114"/>
        <v>0</v>
      </c>
      <c r="CT100" s="471">
        <f t="shared" si="115"/>
        <v>0</v>
      </c>
      <c r="CU100" s="471">
        <f t="shared" si="116"/>
        <v>0</v>
      </c>
      <c r="CV100" s="472">
        <f t="shared" si="117"/>
        <v>0</v>
      </c>
    </row>
    <row r="101" spans="2:100" x14ac:dyDescent="0.2">
      <c r="B101" s="57" t="s">
        <v>103</v>
      </c>
      <c r="C101" s="450">
        <f t="shared" si="91"/>
        <v>0</v>
      </c>
      <c r="D101" s="439">
        <f>IF(C91=0,0,SUM(E101:P101))</f>
        <v>0</v>
      </c>
      <c r="E101" s="1461"/>
      <c r="F101" s="1462"/>
      <c r="G101" s="1462"/>
      <c r="H101" s="1462"/>
      <c r="I101" s="1462"/>
      <c r="J101" s="1462"/>
      <c r="K101" s="1462"/>
      <c r="L101" s="1462"/>
      <c r="M101" s="1462"/>
      <c r="N101" s="1462"/>
      <c r="O101" s="1462"/>
      <c r="P101" s="1463"/>
      <c r="T101" s="28" t="s">
        <v>103</v>
      </c>
      <c r="U101" s="450">
        <f t="shared" si="92"/>
        <v>0</v>
      </c>
      <c r="V101" s="439">
        <f t="shared" si="118"/>
        <v>0</v>
      </c>
      <c r="W101" s="437">
        <f t="shared" si="93"/>
        <v>0</v>
      </c>
      <c r="X101" s="438">
        <f t="shared" si="94"/>
        <v>0</v>
      </c>
      <c r="Y101" s="438">
        <f t="shared" si="95"/>
        <v>0</v>
      </c>
      <c r="Z101" s="438">
        <f t="shared" si="96"/>
        <v>0</v>
      </c>
      <c r="AA101" s="438">
        <f t="shared" si="97"/>
        <v>0</v>
      </c>
      <c r="AB101" s="438">
        <f t="shared" si="98"/>
        <v>0</v>
      </c>
      <c r="AC101" s="438">
        <f t="shared" si="99"/>
        <v>0</v>
      </c>
      <c r="AD101" s="438">
        <f t="shared" si="100"/>
        <v>0</v>
      </c>
      <c r="AE101" s="438">
        <f t="shared" si="101"/>
        <v>0</v>
      </c>
      <c r="AF101" s="438">
        <f t="shared" si="102"/>
        <v>0</v>
      </c>
      <c r="AG101" s="438">
        <f t="shared" si="103"/>
        <v>0</v>
      </c>
      <c r="AH101" s="439">
        <f t="shared" si="104"/>
        <v>0</v>
      </c>
      <c r="CI101" s="57" t="s">
        <v>103</v>
      </c>
      <c r="CJ101" s="477">
        <f t="shared" si="105"/>
        <v>0</v>
      </c>
      <c r="CK101" s="470">
        <f t="shared" si="106"/>
        <v>0</v>
      </c>
      <c r="CL101" s="471">
        <f t="shared" si="107"/>
        <v>0</v>
      </c>
      <c r="CM101" s="471">
        <f t="shared" si="108"/>
        <v>0</v>
      </c>
      <c r="CN101" s="471">
        <f t="shared" si="109"/>
        <v>0</v>
      </c>
      <c r="CO101" s="471">
        <f t="shared" si="110"/>
        <v>0</v>
      </c>
      <c r="CP101" s="471">
        <f t="shared" si="111"/>
        <v>0</v>
      </c>
      <c r="CQ101" s="471">
        <f t="shared" si="112"/>
        <v>0</v>
      </c>
      <c r="CR101" s="471">
        <f t="shared" si="113"/>
        <v>0</v>
      </c>
      <c r="CS101" s="471">
        <f t="shared" si="114"/>
        <v>0</v>
      </c>
      <c r="CT101" s="471">
        <f t="shared" si="115"/>
        <v>0</v>
      </c>
      <c r="CU101" s="471">
        <f t="shared" si="116"/>
        <v>0</v>
      </c>
      <c r="CV101" s="472">
        <f t="shared" si="117"/>
        <v>0</v>
      </c>
    </row>
    <row r="102" spans="2:100" x14ac:dyDescent="0.2">
      <c r="B102" s="57" t="s">
        <v>104</v>
      </c>
      <c r="C102" s="450">
        <f t="shared" si="91"/>
        <v>0</v>
      </c>
      <c r="D102" s="439">
        <f>IF(C91=0,0,SUM(E102:P102))</f>
        <v>0</v>
      </c>
      <c r="E102" s="1461"/>
      <c r="F102" s="1462"/>
      <c r="G102" s="1462"/>
      <c r="H102" s="1462"/>
      <c r="I102" s="1462"/>
      <c r="J102" s="1462"/>
      <c r="K102" s="1462"/>
      <c r="L102" s="1462"/>
      <c r="M102" s="1462"/>
      <c r="N102" s="1462"/>
      <c r="O102" s="1462"/>
      <c r="P102" s="1463"/>
      <c r="T102" s="28" t="s">
        <v>104</v>
      </c>
      <c r="U102" s="450">
        <f t="shared" si="92"/>
        <v>0</v>
      </c>
      <c r="V102" s="439">
        <f t="shared" si="118"/>
        <v>0</v>
      </c>
      <c r="W102" s="437">
        <f t="shared" si="93"/>
        <v>0</v>
      </c>
      <c r="X102" s="438">
        <f t="shared" si="94"/>
        <v>0</v>
      </c>
      <c r="Y102" s="438">
        <f t="shared" si="95"/>
        <v>0</v>
      </c>
      <c r="Z102" s="438">
        <f t="shared" si="96"/>
        <v>0</v>
      </c>
      <c r="AA102" s="438">
        <f t="shared" si="97"/>
        <v>0</v>
      </c>
      <c r="AB102" s="438">
        <f t="shared" si="98"/>
        <v>0</v>
      </c>
      <c r="AC102" s="438">
        <f t="shared" si="99"/>
        <v>0</v>
      </c>
      <c r="AD102" s="438">
        <f t="shared" si="100"/>
        <v>0</v>
      </c>
      <c r="AE102" s="438">
        <f t="shared" si="101"/>
        <v>0</v>
      </c>
      <c r="AF102" s="438">
        <f t="shared" si="102"/>
        <v>0</v>
      </c>
      <c r="AG102" s="438">
        <f t="shared" si="103"/>
        <v>0</v>
      </c>
      <c r="AH102" s="439">
        <f t="shared" si="104"/>
        <v>0</v>
      </c>
      <c r="CI102" s="57" t="s">
        <v>104</v>
      </c>
      <c r="CJ102" s="477">
        <f t="shared" si="105"/>
        <v>0</v>
      </c>
      <c r="CK102" s="470">
        <f t="shared" si="106"/>
        <v>0</v>
      </c>
      <c r="CL102" s="471">
        <f t="shared" si="107"/>
        <v>0</v>
      </c>
      <c r="CM102" s="471">
        <f t="shared" si="108"/>
        <v>0</v>
      </c>
      <c r="CN102" s="471">
        <f t="shared" si="109"/>
        <v>0</v>
      </c>
      <c r="CO102" s="471">
        <f t="shared" si="110"/>
        <v>0</v>
      </c>
      <c r="CP102" s="471">
        <f t="shared" si="111"/>
        <v>0</v>
      </c>
      <c r="CQ102" s="471">
        <f t="shared" si="112"/>
        <v>0</v>
      </c>
      <c r="CR102" s="471">
        <f t="shared" si="113"/>
        <v>0</v>
      </c>
      <c r="CS102" s="471">
        <f t="shared" si="114"/>
        <v>0</v>
      </c>
      <c r="CT102" s="471">
        <f t="shared" si="115"/>
        <v>0</v>
      </c>
      <c r="CU102" s="471">
        <f t="shared" si="116"/>
        <v>0</v>
      </c>
      <c r="CV102" s="472">
        <f t="shared" si="117"/>
        <v>0</v>
      </c>
    </row>
    <row r="103" spans="2:100" x14ac:dyDescent="0.2">
      <c r="B103" s="57" t="s">
        <v>105</v>
      </c>
      <c r="C103" s="450">
        <f t="shared" si="91"/>
        <v>0</v>
      </c>
      <c r="D103" s="439">
        <f>IF(C91=0,0,SUM(E103:P103))</f>
        <v>0</v>
      </c>
      <c r="E103" s="1461"/>
      <c r="F103" s="1462"/>
      <c r="G103" s="1462"/>
      <c r="H103" s="1462"/>
      <c r="I103" s="1462"/>
      <c r="J103" s="1462"/>
      <c r="K103" s="1462"/>
      <c r="L103" s="1462"/>
      <c r="M103" s="1462"/>
      <c r="N103" s="1462"/>
      <c r="O103" s="1462"/>
      <c r="P103" s="1463"/>
      <c r="T103" s="28" t="s">
        <v>105</v>
      </c>
      <c r="U103" s="450">
        <f t="shared" si="92"/>
        <v>0</v>
      </c>
      <c r="V103" s="439">
        <f t="shared" si="118"/>
        <v>0</v>
      </c>
      <c r="W103" s="437">
        <f t="shared" si="93"/>
        <v>0</v>
      </c>
      <c r="X103" s="438">
        <f t="shared" si="94"/>
        <v>0</v>
      </c>
      <c r="Y103" s="438">
        <f t="shared" si="95"/>
        <v>0</v>
      </c>
      <c r="Z103" s="438">
        <f t="shared" si="96"/>
        <v>0</v>
      </c>
      <c r="AA103" s="438">
        <f t="shared" si="97"/>
        <v>0</v>
      </c>
      <c r="AB103" s="438">
        <f t="shared" si="98"/>
        <v>0</v>
      </c>
      <c r="AC103" s="438">
        <f t="shared" si="99"/>
        <v>0</v>
      </c>
      <c r="AD103" s="438">
        <f t="shared" si="100"/>
        <v>0</v>
      </c>
      <c r="AE103" s="438">
        <f t="shared" si="101"/>
        <v>0</v>
      </c>
      <c r="AF103" s="438">
        <f t="shared" si="102"/>
        <v>0</v>
      </c>
      <c r="AG103" s="438">
        <f t="shared" si="103"/>
        <v>0</v>
      </c>
      <c r="AH103" s="439">
        <f t="shared" si="104"/>
        <v>0</v>
      </c>
      <c r="CI103" s="57" t="s">
        <v>105</v>
      </c>
      <c r="CJ103" s="477">
        <f t="shared" si="105"/>
        <v>0</v>
      </c>
      <c r="CK103" s="470">
        <f t="shared" si="106"/>
        <v>0</v>
      </c>
      <c r="CL103" s="471">
        <f t="shared" si="107"/>
        <v>0</v>
      </c>
      <c r="CM103" s="471">
        <f t="shared" si="108"/>
        <v>0</v>
      </c>
      <c r="CN103" s="471">
        <f t="shared" si="109"/>
        <v>0</v>
      </c>
      <c r="CO103" s="471">
        <f t="shared" si="110"/>
        <v>0</v>
      </c>
      <c r="CP103" s="471">
        <f t="shared" si="111"/>
        <v>0</v>
      </c>
      <c r="CQ103" s="471">
        <f t="shared" si="112"/>
        <v>0</v>
      </c>
      <c r="CR103" s="471">
        <f t="shared" si="113"/>
        <v>0</v>
      </c>
      <c r="CS103" s="471">
        <f t="shared" si="114"/>
        <v>0</v>
      </c>
      <c r="CT103" s="471">
        <f t="shared" si="115"/>
        <v>0</v>
      </c>
      <c r="CU103" s="471">
        <f t="shared" si="116"/>
        <v>0</v>
      </c>
      <c r="CV103" s="472">
        <f t="shared" si="117"/>
        <v>0</v>
      </c>
    </row>
    <row r="104" spans="2:100" x14ac:dyDescent="0.2">
      <c r="B104" s="57" t="s">
        <v>106</v>
      </c>
      <c r="C104" s="450">
        <f t="shared" si="91"/>
        <v>0</v>
      </c>
      <c r="D104" s="439">
        <f>IF(C91=0,0,SUM(E104:P104))</f>
        <v>0</v>
      </c>
      <c r="E104" s="1461"/>
      <c r="F104" s="1462"/>
      <c r="G104" s="1462"/>
      <c r="H104" s="1462"/>
      <c r="I104" s="1462"/>
      <c r="J104" s="1462"/>
      <c r="K104" s="1462"/>
      <c r="L104" s="1462"/>
      <c r="M104" s="1462"/>
      <c r="N104" s="1462"/>
      <c r="O104" s="1462"/>
      <c r="P104" s="1463"/>
      <c r="T104" s="28" t="s">
        <v>106</v>
      </c>
      <c r="U104" s="450">
        <f t="shared" si="92"/>
        <v>0</v>
      </c>
      <c r="V104" s="439">
        <f t="shared" si="118"/>
        <v>0</v>
      </c>
      <c r="W104" s="437">
        <f t="shared" si="93"/>
        <v>0</v>
      </c>
      <c r="X104" s="438">
        <f t="shared" si="94"/>
        <v>0</v>
      </c>
      <c r="Y104" s="438">
        <f t="shared" si="95"/>
        <v>0</v>
      </c>
      <c r="Z104" s="438">
        <f t="shared" si="96"/>
        <v>0</v>
      </c>
      <c r="AA104" s="438">
        <f t="shared" si="97"/>
        <v>0</v>
      </c>
      <c r="AB104" s="438">
        <f t="shared" si="98"/>
        <v>0</v>
      </c>
      <c r="AC104" s="438">
        <f t="shared" si="99"/>
        <v>0</v>
      </c>
      <c r="AD104" s="438">
        <f t="shared" si="100"/>
        <v>0</v>
      </c>
      <c r="AE104" s="438">
        <f t="shared" si="101"/>
        <v>0</v>
      </c>
      <c r="AF104" s="438">
        <f t="shared" si="102"/>
        <v>0</v>
      </c>
      <c r="AG104" s="438">
        <f t="shared" si="103"/>
        <v>0</v>
      </c>
      <c r="AH104" s="439">
        <f t="shared" si="104"/>
        <v>0</v>
      </c>
      <c r="CI104" s="57" t="s">
        <v>106</v>
      </c>
      <c r="CJ104" s="477">
        <f t="shared" si="105"/>
        <v>0</v>
      </c>
      <c r="CK104" s="470">
        <f t="shared" si="106"/>
        <v>0</v>
      </c>
      <c r="CL104" s="471">
        <f t="shared" si="107"/>
        <v>0</v>
      </c>
      <c r="CM104" s="471">
        <f t="shared" si="108"/>
        <v>0</v>
      </c>
      <c r="CN104" s="471">
        <f t="shared" si="109"/>
        <v>0</v>
      </c>
      <c r="CO104" s="471">
        <f t="shared" si="110"/>
        <v>0</v>
      </c>
      <c r="CP104" s="471">
        <f t="shared" si="111"/>
        <v>0</v>
      </c>
      <c r="CQ104" s="471">
        <f t="shared" si="112"/>
        <v>0</v>
      </c>
      <c r="CR104" s="471">
        <f t="shared" si="113"/>
        <v>0</v>
      </c>
      <c r="CS104" s="471">
        <f t="shared" si="114"/>
        <v>0</v>
      </c>
      <c r="CT104" s="471">
        <f t="shared" si="115"/>
        <v>0</v>
      </c>
      <c r="CU104" s="471">
        <f t="shared" si="116"/>
        <v>0</v>
      </c>
      <c r="CV104" s="472">
        <f t="shared" si="117"/>
        <v>0</v>
      </c>
    </row>
    <row r="105" spans="2:100" x14ac:dyDescent="0.2">
      <c r="B105" s="57" t="s">
        <v>37</v>
      </c>
      <c r="C105" s="450">
        <f t="shared" si="91"/>
        <v>0</v>
      </c>
      <c r="D105" s="439">
        <f>IF(C91=0,0,SUM(E105:P105))</f>
        <v>0</v>
      </c>
      <c r="E105" s="1461"/>
      <c r="F105" s="1462"/>
      <c r="G105" s="1462"/>
      <c r="H105" s="1462"/>
      <c r="I105" s="1462"/>
      <c r="J105" s="1462"/>
      <c r="K105" s="1462"/>
      <c r="L105" s="1462"/>
      <c r="M105" s="1462"/>
      <c r="N105" s="1462"/>
      <c r="O105" s="1462"/>
      <c r="P105" s="1463"/>
      <c r="T105" s="28" t="s">
        <v>37</v>
      </c>
      <c r="U105" s="450">
        <f t="shared" si="92"/>
        <v>0</v>
      </c>
      <c r="V105" s="439">
        <f t="shared" si="118"/>
        <v>0</v>
      </c>
      <c r="W105" s="437">
        <f t="shared" si="93"/>
        <v>0</v>
      </c>
      <c r="X105" s="438">
        <f t="shared" si="94"/>
        <v>0</v>
      </c>
      <c r="Y105" s="438">
        <f t="shared" si="95"/>
        <v>0</v>
      </c>
      <c r="Z105" s="438">
        <f t="shared" si="96"/>
        <v>0</v>
      </c>
      <c r="AA105" s="438">
        <f t="shared" si="97"/>
        <v>0</v>
      </c>
      <c r="AB105" s="438">
        <f t="shared" si="98"/>
        <v>0</v>
      </c>
      <c r="AC105" s="438">
        <f t="shared" si="99"/>
        <v>0</v>
      </c>
      <c r="AD105" s="438">
        <f t="shared" si="100"/>
        <v>0</v>
      </c>
      <c r="AE105" s="438">
        <f t="shared" si="101"/>
        <v>0</v>
      </c>
      <c r="AF105" s="438">
        <f t="shared" si="102"/>
        <v>0</v>
      </c>
      <c r="AG105" s="438">
        <f t="shared" si="103"/>
        <v>0</v>
      </c>
      <c r="AH105" s="439">
        <f t="shared" si="104"/>
        <v>0</v>
      </c>
      <c r="CI105" s="57" t="s">
        <v>37</v>
      </c>
      <c r="CJ105" s="477">
        <f t="shared" si="105"/>
        <v>0</v>
      </c>
      <c r="CK105" s="470">
        <f t="shared" si="106"/>
        <v>0</v>
      </c>
      <c r="CL105" s="471">
        <f t="shared" si="107"/>
        <v>0</v>
      </c>
      <c r="CM105" s="471">
        <f t="shared" si="108"/>
        <v>0</v>
      </c>
      <c r="CN105" s="471">
        <f t="shared" si="109"/>
        <v>0</v>
      </c>
      <c r="CO105" s="471">
        <f t="shared" si="110"/>
        <v>0</v>
      </c>
      <c r="CP105" s="471">
        <f t="shared" si="111"/>
        <v>0</v>
      </c>
      <c r="CQ105" s="471">
        <f t="shared" si="112"/>
        <v>0</v>
      </c>
      <c r="CR105" s="471">
        <f t="shared" si="113"/>
        <v>0</v>
      </c>
      <c r="CS105" s="471">
        <f t="shared" si="114"/>
        <v>0</v>
      </c>
      <c r="CT105" s="471">
        <f t="shared" si="115"/>
        <v>0</v>
      </c>
      <c r="CU105" s="471">
        <f t="shared" si="116"/>
        <v>0</v>
      </c>
      <c r="CV105" s="472">
        <f t="shared" si="117"/>
        <v>0</v>
      </c>
    </row>
    <row r="106" spans="2:100" x14ac:dyDescent="0.2">
      <c r="B106" s="57" t="s">
        <v>36</v>
      </c>
      <c r="C106" s="450">
        <f t="shared" si="91"/>
        <v>0</v>
      </c>
      <c r="D106" s="439">
        <f>IF(C91=0,0,SUM(E106:P106))</f>
        <v>0</v>
      </c>
      <c r="E106" s="1464"/>
      <c r="F106" s="1465"/>
      <c r="G106" s="1465"/>
      <c r="H106" s="1465"/>
      <c r="I106" s="1465"/>
      <c r="J106" s="1465"/>
      <c r="K106" s="1465"/>
      <c r="L106" s="1465"/>
      <c r="M106" s="1465"/>
      <c r="N106" s="1465"/>
      <c r="O106" s="1465"/>
      <c r="P106" s="1466"/>
      <c r="T106" s="28" t="s">
        <v>36</v>
      </c>
      <c r="U106" s="450">
        <f t="shared" si="92"/>
        <v>0</v>
      </c>
      <c r="V106" s="439">
        <f t="shared" si="118"/>
        <v>0</v>
      </c>
      <c r="W106" s="437">
        <f t="shared" si="93"/>
        <v>0</v>
      </c>
      <c r="X106" s="438">
        <f t="shared" si="94"/>
        <v>0</v>
      </c>
      <c r="Y106" s="438">
        <f t="shared" si="95"/>
        <v>0</v>
      </c>
      <c r="Z106" s="438">
        <f t="shared" si="96"/>
        <v>0</v>
      </c>
      <c r="AA106" s="438">
        <f t="shared" si="97"/>
        <v>0</v>
      </c>
      <c r="AB106" s="438">
        <f t="shared" si="98"/>
        <v>0</v>
      </c>
      <c r="AC106" s="438">
        <f t="shared" si="99"/>
        <v>0</v>
      </c>
      <c r="AD106" s="438">
        <f t="shared" si="100"/>
        <v>0</v>
      </c>
      <c r="AE106" s="438">
        <f t="shared" si="101"/>
        <v>0</v>
      </c>
      <c r="AF106" s="438">
        <f t="shared" si="102"/>
        <v>0</v>
      </c>
      <c r="AG106" s="438">
        <f t="shared" si="103"/>
        <v>0</v>
      </c>
      <c r="AH106" s="439">
        <f t="shared" si="104"/>
        <v>0</v>
      </c>
      <c r="CI106" s="57" t="s">
        <v>36</v>
      </c>
      <c r="CJ106" s="477">
        <f t="shared" si="105"/>
        <v>0</v>
      </c>
      <c r="CK106" s="470">
        <f t="shared" si="106"/>
        <v>0</v>
      </c>
      <c r="CL106" s="471">
        <f t="shared" si="107"/>
        <v>0</v>
      </c>
      <c r="CM106" s="471">
        <f t="shared" si="108"/>
        <v>0</v>
      </c>
      <c r="CN106" s="471">
        <f t="shared" si="109"/>
        <v>0</v>
      </c>
      <c r="CO106" s="471">
        <f t="shared" si="110"/>
        <v>0</v>
      </c>
      <c r="CP106" s="471">
        <f t="shared" si="111"/>
        <v>0</v>
      </c>
      <c r="CQ106" s="471">
        <f t="shared" si="112"/>
        <v>0</v>
      </c>
      <c r="CR106" s="471">
        <f t="shared" si="113"/>
        <v>0</v>
      </c>
      <c r="CS106" s="471">
        <f t="shared" si="114"/>
        <v>0</v>
      </c>
      <c r="CT106" s="471">
        <f t="shared" si="115"/>
        <v>0</v>
      </c>
      <c r="CU106" s="471">
        <f t="shared" si="116"/>
        <v>0</v>
      </c>
      <c r="CV106" s="472">
        <f t="shared" si="117"/>
        <v>0</v>
      </c>
    </row>
    <row r="107" spans="2:100" x14ac:dyDescent="0.2">
      <c r="B107" s="57" t="s">
        <v>94</v>
      </c>
      <c r="C107" s="450">
        <f t="shared" si="91"/>
        <v>0</v>
      </c>
      <c r="D107" s="486">
        <f>IF(C91=0,0,SUM(E107:P107))</f>
        <v>0</v>
      </c>
      <c r="E107" s="1464"/>
      <c r="F107" s="1465"/>
      <c r="G107" s="1465"/>
      <c r="H107" s="1465"/>
      <c r="I107" s="1465"/>
      <c r="J107" s="1465"/>
      <c r="K107" s="1465"/>
      <c r="L107" s="1465"/>
      <c r="M107" s="1465"/>
      <c r="N107" s="1465"/>
      <c r="O107" s="1465"/>
      <c r="P107" s="1466"/>
      <c r="T107" s="28" t="s">
        <v>94</v>
      </c>
      <c r="U107" s="450">
        <f t="shared" si="92"/>
        <v>0</v>
      </c>
      <c r="V107" s="486">
        <f t="shared" si="118"/>
        <v>0</v>
      </c>
      <c r="W107" s="437">
        <f t="shared" si="93"/>
        <v>0</v>
      </c>
      <c r="X107" s="438">
        <f t="shared" si="94"/>
        <v>0</v>
      </c>
      <c r="Y107" s="438">
        <f t="shared" si="95"/>
        <v>0</v>
      </c>
      <c r="Z107" s="438">
        <f t="shared" si="96"/>
        <v>0</v>
      </c>
      <c r="AA107" s="438">
        <f t="shared" si="97"/>
        <v>0</v>
      </c>
      <c r="AB107" s="438">
        <f t="shared" si="98"/>
        <v>0</v>
      </c>
      <c r="AC107" s="438">
        <f t="shared" si="99"/>
        <v>0</v>
      </c>
      <c r="AD107" s="438">
        <f t="shared" si="100"/>
        <v>0</v>
      </c>
      <c r="AE107" s="438">
        <f t="shared" si="101"/>
        <v>0</v>
      </c>
      <c r="AF107" s="438">
        <f t="shared" si="102"/>
        <v>0</v>
      </c>
      <c r="AG107" s="438">
        <f t="shared" si="103"/>
        <v>0</v>
      </c>
      <c r="AH107" s="439">
        <f t="shared" si="104"/>
        <v>0</v>
      </c>
      <c r="CI107" s="57" t="s">
        <v>94</v>
      </c>
      <c r="CJ107" s="477">
        <f t="shared" si="105"/>
        <v>0</v>
      </c>
      <c r="CK107" s="470">
        <f t="shared" si="106"/>
        <v>0</v>
      </c>
      <c r="CL107" s="471">
        <f t="shared" si="107"/>
        <v>0</v>
      </c>
      <c r="CM107" s="471">
        <f t="shared" si="108"/>
        <v>0</v>
      </c>
      <c r="CN107" s="471">
        <f t="shared" si="109"/>
        <v>0</v>
      </c>
      <c r="CO107" s="471">
        <f t="shared" si="110"/>
        <v>0</v>
      </c>
      <c r="CP107" s="471">
        <f t="shared" si="111"/>
        <v>0</v>
      </c>
      <c r="CQ107" s="471">
        <f t="shared" si="112"/>
        <v>0</v>
      </c>
      <c r="CR107" s="471">
        <f t="shared" si="113"/>
        <v>0</v>
      </c>
      <c r="CS107" s="471">
        <f t="shared" si="114"/>
        <v>0</v>
      </c>
      <c r="CT107" s="471">
        <f t="shared" si="115"/>
        <v>0</v>
      </c>
      <c r="CU107" s="471">
        <f t="shared" si="116"/>
        <v>0</v>
      </c>
      <c r="CV107" s="472">
        <f t="shared" si="117"/>
        <v>0</v>
      </c>
    </row>
    <row r="108" spans="2:100" ht="13.5" thickBot="1" x14ac:dyDescent="0.25">
      <c r="B108" s="40" t="s">
        <v>93</v>
      </c>
      <c r="C108" s="498">
        <f t="shared" si="91"/>
        <v>0</v>
      </c>
      <c r="D108" s="512">
        <f>IF(C91=0,0,SUM(E108:P108))</f>
        <v>0</v>
      </c>
      <c r="E108" s="1464"/>
      <c r="F108" s="1465"/>
      <c r="G108" s="1465"/>
      <c r="H108" s="1465"/>
      <c r="I108" s="1465"/>
      <c r="J108" s="1465"/>
      <c r="K108" s="1465"/>
      <c r="L108" s="1465"/>
      <c r="M108" s="1465"/>
      <c r="N108" s="1465"/>
      <c r="O108" s="1465"/>
      <c r="P108" s="1466"/>
      <c r="T108" s="54" t="s">
        <v>93</v>
      </c>
      <c r="U108" s="498">
        <f t="shared" si="92"/>
        <v>0</v>
      </c>
      <c r="V108" s="512">
        <f t="shared" si="118"/>
        <v>0</v>
      </c>
      <c r="W108" s="484">
        <f t="shared" si="93"/>
        <v>0</v>
      </c>
      <c r="X108" s="485">
        <f t="shared" si="94"/>
        <v>0</v>
      </c>
      <c r="Y108" s="485">
        <f t="shared" si="95"/>
        <v>0</v>
      </c>
      <c r="Z108" s="485">
        <f t="shared" si="96"/>
        <v>0</v>
      </c>
      <c r="AA108" s="485">
        <f t="shared" si="97"/>
        <v>0</v>
      </c>
      <c r="AB108" s="485">
        <f t="shared" si="98"/>
        <v>0</v>
      </c>
      <c r="AC108" s="485">
        <f t="shared" si="99"/>
        <v>0</v>
      </c>
      <c r="AD108" s="485">
        <f t="shared" si="100"/>
        <v>0</v>
      </c>
      <c r="AE108" s="485">
        <f t="shared" si="101"/>
        <v>0</v>
      </c>
      <c r="AF108" s="485">
        <f t="shared" si="102"/>
        <v>0</v>
      </c>
      <c r="AG108" s="485">
        <f t="shared" si="103"/>
        <v>0</v>
      </c>
      <c r="AH108" s="486">
        <f t="shared" si="104"/>
        <v>0</v>
      </c>
      <c r="CI108" s="40" t="s">
        <v>93</v>
      </c>
      <c r="CJ108" s="478">
        <f t="shared" si="105"/>
        <v>0</v>
      </c>
      <c r="CK108" s="473">
        <f t="shared" si="106"/>
        <v>0</v>
      </c>
      <c r="CL108" s="474">
        <f t="shared" si="107"/>
        <v>0</v>
      </c>
      <c r="CM108" s="474">
        <f t="shared" si="108"/>
        <v>0</v>
      </c>
      <c r="CN108" s="474">
        <f t="shared" si="109"/>
        <v>0</v>
      </c>
      <c r="CO108" s="474">
        <f t="shared" si="110"/>
        <v>0</v>
      </c>
      <c r="CP108" s="474">
        <f t="shared" si="111"/>
        <v>0</v>
      </c>
      <c r="CQ108" s="474">
        <f t="shared" si="112"/>
        <v>0</v>
      </c>
      <c r="CR108" s="474">
        <f t="shared" si="113"/>
        <v>0</v>
      </c>
      <c r="CS108" s="474">
        <f t="shared" si="114"/>
        <v>0</v>
      </c>
      <c r="CT108" s="474">
        <f t="shared" si="115"/>
        <v>0</v>
      </c>
      <c r="CU108" s="474">
        <f t="shared" si="116"/>
        <v>0</v>
      </c>
      <c r="CV108" s="475">
        <f t="shared" si="117"/>
        <v>0</v>
      </c>
    </row>
    <row r="109" spans="2:100" ht="13.5" thickBot="1" x14ac:dyDescent="0.25">
      <c r="B109" s="54" t="s">
        <v>107</v>
      </c>
      <c r="C109" s="416">
        <f t="shared" si="91"/>
        <v>0</v>
      </c>
      <c r="D109" s="423">
        <f>IF(C91=0,0,SUM(E109:P109))</f>
        <v>0</v>
      </c>
      <c r="E109" s="461">
        <f>SUM(E97:E108)</f>
        <v>0</v>
      </c>
      <c r="F109" s="453">
        <f>SUM(F97:F108)</f>
        <v>0</v>
      </c>
      <c r="G109" s="453">
        <f t="shared" ref="G109:P109" si="119">SUM(G97:G108)</f>
        <v>0</v>
      </c>
      <c r="H109" s="453">
        <f t="shared" si="119"/>
        <v>0</v>
      </c>
      <c r="I109" s="453">
        <f>SUM(I97:I108)</f>
        <v>0</v>
      </c>
      <c r="J109" s="453">
        <f t="shared" si="119"/>
        <v>0</v>
      </c>
      <c r="K109" s="453">
        <f t="shared" si="119"/>
        <v>0</v>
      </c>
      <c r="L109" s="453">
        <f t="shared" si="119"/>
        <v>0</v>
      </c>
      <c r="M109" s="453">
        <f t="shared" si="119"/>
        <v>0</v>
      </c>
      <c r="N109" s="453">
        <f t="shared" si="119"/>
        <v>0</v>
      </c>
      <c r="O109" s="453">
        <f t="shared" si="119"/>
        <v>0</v>
      </c>
      <c r="P109" s="454">
        <f t="shared" si="119"/>
        <v>0</v>
      </c>
      <c r="T109" s="30" t="s">
        <v>107</v>
      </c>
      <c r="U109" s="416">
        <f t="shared" si="92"/>
        <v>0</v>
      </c>
      <c r="V109" s="423">
        <f t="shared" si="118"/>
        <v>0</v>
      </c>
      <c r="W109" s="461">
        <f t="shared" si="93"/>
        <v>0</v>
      </c>
      <c r="X109" s="453">
        <f t="shared" si="94"/>
        <v>0</v>
      </c>
      <c r="Y109" s="453">
        <f t="shared" si="95"/>
        <v>0</v>
      </c>
      <c r="Z109" s="453">
        <f t="shared" si="96"/>
        <v>0</v>
      </c>
      <c r="AA109" s="453">
        <f t="shared" si="97"/>
        <v>0</v>
      </c>
      <c r="AB109" s="453">
        <f t="shared" si="98"/>
        <v>0</v>
      </c>
      <c r="AC109" s="453">
        <f t="shared" si="99"/>
        <v>0</v>
      </c>
      <c r="AD109" s="453">
        <f t="shared" si="100"/>
        <v>0</v>
      </c>
      <c r="AE109" s="453">
        <f t="shared" si="101"/>
        <v>0</v>
      </c>
      <c r="AF109" s="453">
        <f t="shared" si="102"/>
        <v>0</v>
      </c>
      <c r="AG109" s="453">
        <f t="shared" si="103"/>
        <v>0</v>
      </c>
      <c r="AH109" s="454">
        <f t="shared" si="104"/>
        <v>0</v>
      </c>
      <c r="CI109" s="8" t="s">
        <v>107</v>
      </c>
      <c r="CJ109" s="479">
        <f t="shared" si="105"/>
        <v>0</v>
      </c>
      <c r="CK109" s="480">
        <f t="shared" si="106"/>
        <v>0</v>
      </c>
      <c r="CL109" s="481">
        <f t="shared" si="107"/>
        <v>0</v>
      </c>
      <c r="CM109" s="481">
        <f t="shared" si="108"/>
        <v>0</v>
      </c>
      <c r="CN109" s="481">
        <f t="shared" si="109"/>
        <v>0</v>
      </c>
      <c r="CO109" s="481">
        <f t="shared" si="110"/>
        <v>0</v>
      </c>
      <c r="CP109" s="481">
        <f t="shared" si="111"/>
        <v>0</v>
      </c>
      <c r="CQ109" s="481">
        <f t="shared" si="112"/>
        <v>0</v>
      </c>
      <c r="CR109" s="481">
        <f t="shared" si="113"/>
        <v>0</v>
      </c>
      <c r="CS109" s="481">
        <f t="shared" si="114"/>
        <v>0</v>
      </c>
      <c r="CT109" s="481">
        <f t="shared" si="115"/>
        <v>0</v>
      </c>
      <c r="CU109" s="481">
        <f t="shared" si="116"/>
        <v>0</v>
      </c>
      <c r="CV109" s="482">
        <f t="shared" si="117"/>
        <v>0</v>
      </c>
    </row>
    <row r="110" spans="2:100" ht="20.25" customHeight="1" thickBot="1" x14ac:dyDescent="0.25"/>
    <row r="111" spans="2:100" ht="24" thickBot="1" x14ac:dyDescent="0.4">
      <c r="B111" s="735" t="str">
        <f>'2.1 Verkkopyynti'!D62</f>
        <v>Verkko2</v>
      </c>
      <c r="C111" s="736"/>
      <c r="D111" s="736" t="str">
        <f>'2.1 Verkkopyynti'!E62</f>
        <v>Talvi avovesi</v>
      </c>
      <c r="E111" s="736"/>
      <c r="F111" s="736"/>
      <c r="G111" s="736"/>
      <c r="H111" s="736"/>
      <c r="I111" s="738"/>
      <c r="T111" s="735" t="str">
        <f>'2.2 Rysäpyynti'!D4</f>
        <v>Isorysä1</v>
      </c>
      <c r="U111" s="736"/>
      <c r="V111" s="736"/>
      <c r="W111" s="377"/>
      <c r="X111" s="377"/>
      <c r="Y111" s="377"/>
      <c r="Z111" s="377"/>
      <c r="AA111" s="734"/>
      <c r="CI111" s="735" t="str">
        <f>T155</f>
        <v>PU-rysä1</v>
      </c>
      <c r="CJ111" s="736"/>
      <c r="CK111" s="736" t="str">
        <f>V155</f>
        <v>Yhteensä</v>
      </c>
      <c r="CL111" s="377"/>
      <c r="CM111" s="377"/>
      <c r="CN111" s="377"/>
      <c r="CO111" s="377"/>
      <c r="CP111" s="734"/>
    </row>
    <row r="112" spans="2:100" ht="24" thickBot="1" x14ac:dyDescent="0.4">
      <c r="B112" s="39"/>
      <c r="C112" s="39"/>
      <c r="D112" s="43"/>
      <c r="T112" s="39"/>
      <c r="U112" s="39"/>
      <c r="V112" s="43"/>
      <c r="CI112" s="39"/>
      <c r="CJ112" s="39"/>
      <c r="CK112" s="43"/>
    </row>
    <row r="113" spans="2:100" ht="21" customHeight="1" thickBot="1" x14ac:dyDescent="0.4">
      <c r="B113" s="30" t="s">
        <v>39</v>
      </c>
      <c r="C113" s="446">
        <f>'2.1 Verkkopyynti'!G64</f>
        <v>0</v>
      </c>
      <c r="D113" s="8" t="s">
        <v>15</v>
      </c>
      <c r="E113" s="41"/>
      <c r="F113" s="42"/>
      <c r="G113" s="8" t="s">
        <v>5</v>
      </c>
      <c r="H113" s="10"/>
      <c r="I113" s="18"/>
      <c r="J113" s="18"/>
      <c r="K113" s="18"/>
      <c r="L113" s="10"/>
      <c r="T113" s="30" t="s">
        <v>39</v>
      </c>
      <c r="U113" s="455">
        <f>C201</f>
        <v>0</v>
      </c>
      <c r="V113" s="8" t="s">
        <v>15</v>
      </c>
      <c r="W113" s="41"/>
      <c r="X113" s="42"/>
      <c r="Y113" s="8" t="s">
        <v>5</v>
      </c>
      <c r="Z113" s="10"/>
      <c r="AA113" s="18"/>
      <c r="AB113" s="18"/>
      <c r="AC113" s="18"/>
      <c r="AD113" s="10"/>
      <c r="CI113" s="30" t="s">
        <v>39</v>
      </c>
      <c r="CJ113" s="455">
        <f>U157</f>
        <v>0</v>
      </c>
      <c r="CK113" s="8" t="s">
        <v>15</v>
      </c>
      <c r="CL113" s="41"/>
      <c r="CM113" s="42"/>
      <c r="CN113" s="8" t="s">
        <v>5</v>
      </c>
      <c r="CO113" s="10"/>
      <c r="CP113" s="18"/>
      <c r="CQ113" s="18"/>
      <c r="CR113" s="18"/>
      <c r="CS113" s="10"/>
    </row>
    <row r="114" spans="2:100" ht="13.5" thickBot="1" x14ac:dyDescent="0.25">
      <c r="B114" s="30" t="s">
        <v>2</v>
      </c>
      <c r="C114" s="1134" t="str">
        <f>IF(C113=0,"0",'2.1 Verkkopyynti'!E67)</f>
        <v>0</v>
      </c>
      <c r="D114" s="8" t="s">
        <v>4</v>
      </c>
      <c r="E114" s="10"/>
      <c r="F114" s="455">
        <f>'2.1 Verkkopyynti'!G68</f>
        <v>0</v>
      </c>
      <c r="G114" s="8" t="s">
        <v>6</v>
      </c>
      <c r="H114" s="18"/>
      <c r="I114" s="41"/>
      <c r="J114" s="18"/>
      <c r="K114" s="10"/>
      <c r="L114" s="455">
        <f>IF(C113=0,0,'2.1 Verkkopyynti'!E71)</f>
        <v>0</v>
      </c>
      <c r="T114" s="30" t="s">
        <v>2</v>
      </c>
      <c r="U114" s="1134" t="str">
        <f>C202</f>
        <v>0</v>
      </c>
      <c r="V114" s="8" t="s">
        <v>4</v>
      </c>
      <c r="W114" s="10"/>
      <c r="X114" s="455">
        <f>F202</f>
        <v>0</v>
      </c>
      <c r="Y114" s="8" t="s">
        <v>6</v>
      </c>
      <c r="Z114" s="18"/>
      <c r="AA114" s="41"/>
      <c r="AB114" s="18"/>
      <c r="AC114" s="10"/>
      <c r="AD114" s="456">
        <f>IF(U113=0,0,AD115/(X114/7))</f>
        <v>0</v>
      </c>
      <c r="CI114" s="30" t="s">
        <v>2</v>
      </c>
      <c r="CJ114" s="1134" t="str">
        <f>U158</f>
        <v>0</v>
      </c>
      <c r="CK114" s="8" t="s">
        <v>4</v>
      </c>
      <c r="CL114" s="10"/>
      <c r="CM114" s="455">
        <f>X158</f>
        <v>0</v>
      </c>
      <c r="CN114" s="8" t="s">
        <v>6</v>
      </c>
      <c r="CO114" s="18"/>
      <c r="CP114" s="41"/>
      <c r="CQ114" s="18"/>
      <c r="CR114" s="10"/>
      <c r="CS114" s="456">
        <f>AD158</f>
        <v>0</v>
      </c>
    </row>
    <row r="115" spans="2:100" ht="15.75" customHeight="1" thickBot="1" x14ac:dyDescent="0.25">
      <c r="B115" s="30" t="s">
        <v>3</v>
      </c>
      <c r="C115" s="1134" t="str">
        <f>IF(C113=0,"0",'2.1 Verkkopyynti'!E68)</f>
        <v>0</v>
      </c>
      <c r="D115" s="8" t="s">
        <v>38</v>
      </c>
      <c r="E115" s="10"/>
      <c r="F115" s="456">
        <f>F114/30</f>
        <v>0</v>
      </c>
      <c r="G115" s="40" t="s">
        <v>26</v>
      </c>
      <c r="H115" s="14"/>
      <c r="I115" s="14"/>
      <c r="J115" s="14"/>
      <c r="K115" s="17"/>
      <c r="L115" s="457">
        <f>'2.1 Verkkopyynti'!E72</f>
        <v>0</v>
      </c>
      <c r="T115" s="30" t="s">
        <v>3</v>
      </c>
      <c r="U115" s="1134" t="str">
        <f>C203</f>
        <v>0</v>
      </c>
      <c r="V115" s="8" t="s">
        <v>38</v>
      </c>
      <c r="W115" s="10"/>
      <c r="X115" s="456">
        <f>F203</f>
        <v>0</v>
      </c>
      <c r="Y115" s="40" t="s">
        <v>26</v>
      </c>
      <c r="Z115" s="14"/>
      <c r="AA115" s="14"/>
      <c r="AB115" s="14"/>
      <c r="AC115" s="17"/>
      <c r="AD115" s="457">
        <f>L203</f>
        <v>0</v>
      </c>
      <c r="CI115" s="30" t="s">
        <v>3</v>
      </c>
      <c r="CJ115" s="1134" t="str">
        <f>U159</f>
        <v>0</v>
      </c>
      <c r="CK115" s="8" t="s">
        <v>38</v>
      </c>
      <c r="CL115" s="10"/>
      <c r="CM115" s="455">
        <f>X159</f>
        <v>0</v>
      </c>
      <c r="CN115" s="40" t="s">
        <v>26</v>
      </c>
      <c r="CO115" s="14"/>
      <c r="CP115" s="14"/>
      <c r="CQ115" s="14"/>
      <c r="CR115" s="17"/>
      <c r="CS115" s="455">
        <f>AD159</f>
        <v>0</v>
      </c>
    </row>
    <row r="116" spans="2:100" ht="13.5" thickBot="1" x14ac:dyDescent="0.25">
      <c r="B116" s="34"/>
      <c r="C116" s="34"/>
      <c r="T116" s="34"/>
      <c r="U116" s="34"/>
      <c r="V116" s="45"/>
      <c r="W116" s="34"/>
      <c r="Y116" s="46"/>
      <c r="Z116" s="34"/>
      <c r="AE116" s="34"/>
      <c r="CI116" s="34"/>
      <c r="CJ116" s="34"/>
      <c r="CK116" s="45"/>
      <c r="CL116" s="34"/>
      <c r="CN116" s="46"/>
      <c r="CO116" s="34"/>
      <c r="CT116" s="34"/>
    </row>
    <row r="117" spans="2:100" ht="13.5" customHeight="1" thickBot="1" x14ac:dyDescent="0.25">
      <c r="B117" s="5" t="s">
        <v>73</v>
      </c>
      <c r="C117" s="51" t="s">
        <v>46</v>
      </c>
      <c r="D117" s="81" t="s">
        <v>40</v>
      </c>
      <c r="E117" s="47"/>
      <c r="F117" s="48"/>
      <c r="G117" s="48"/>
      <c r="H117" s="48"/>
      <c r="I117" s="48"/>
      <c r="J117" s="41" t="s">
        <v>42</v>
      </c>
      <c r="K117" s="48"/>
      <c r="L117" s="48"/>
      <c r="M117" s="48"/>
      <c r="N117" s="48"/>
      <c r="O117" s="48"/>
      <c r="P117" s="49"/>
      <c r="T117" s="5" t="s">
        <v>73</v>
      </c>
      <c r="U117" s="51" t="s">
        <v>46</v>
      </c>
      <c r="V117" s="52" t="s">
        <v>40</v>
      </c>
      <c r="W117" s="47"/>
      <c r="X117" s="48"/>
      <c r="Y117" s="48"/>
      <c r="Z117" s="48"/>
      <c r="AA117" s="48"/>
      <c r="AB117" s="41" t="s">
        <v>42</v>
      </c>
      <c r="AC117" s="48"/>
      <c r="AD117" s="48"/>
      <c r="AE117" s="48"/>
      <c r="AF117" s="48"/>
      <c r="AG117" s="48"/>
      <c r="AH117" s="49"/>
      <c r="CI117" s="5" t="s">
        <v>73</v>
      </c>
      <c r="CJ117" s="399" t="s">
        <v>40</v>
      </c>
      <c r="CK117" s="47"/>
      <c r="CL117" s="48"/>
      <c r="CM117" s="48"/>
      <c r="CN117" s="48"/>
      <c r="CO117" s="48"/>
      <c r="CP117" s="41" t="s">
        <v>42</v>
      </c>
      <c r="CQ117" s="48"/>
      <c r="CR117" s="48"/>
      <c r="CS117" s="48"/>
      <c r="CT117" s="48"/>
      <c r="CU117" s="48"/>
      <c r="CV117" s="49"/>
    </row>
    <row r="118" spans="2:100" ht="13.5" thickBot="1" x14ac:dyDescent="0.25">
      <c r="B118" s="28"/>
      <c r="C118" s="69" t="s">
        <v>47</v>
      </c>
      <c r="D118" s="29" t="s">
        <v>41</v>
      </c>
      <c r="E118" s="80">
        <v>1</v>
      </c>
      <c r="F118" s="33">
        <v>2</v>
      </c>
      <c r="G118" s="33">
        <v>3</v>
      </c>
      <c r="H118" s="33">
        <v>4</v>
      </c>
      <c r="I118" s="33">
        <v>5</v>
      </c>
      <c r="J118" s="33">
        <v>6</v>
      </c>
      <c r="K118" s="33">
        <v>7</v>
      </c>
      <c r="L118" s="33">
        <v>8</v>
      </c>
      <c r="M118" s="33">
        <v>9</v>
      </c>
      <c r="N118" s="33">
        <v>10</v>
      </c>
      <c r="O118" s="33">
        <v>11</v>
      </c>
      <c r="P118" s="79">
        <v>12</v>
      </c>
      <c r="T118" s="54"/>
      <c r="U118" s="69" t="s">
        <v>47</v>
      </c>
      <c r="V118" s="53" t="s">
        <v>41</v>
      </c>
      <c r="W118" s="80">
        <v>1</v>
      </c>
      <c r="X118" s="33">
        <v>2</v>
      </c>
      <c r="Y118" s="33">
        <v>3</v>
      </c>
      <c r="Z118" s="33">
        <v>4</v>
      </c>
      <c r="AA118" s="33">
        <v>5</v>
      </c>
      <c r="AB118" s="33">
        <v>6</v>
      </c>
      <c r="AC118" s="33">
        <v>7</v>
      </c>
      <c r="AD118" s="33">
        <v>8</v>
      </c>
      <c r="AE118" s="33">
        <v>9</v>
      </c>
      <c r="AF118" s="33">
        <v>10</v>
      </c>
      <c r="AG118" s="33">
        <v>11</v>
      </c>
      <c r="AH118" s="79">
        <v>12</v>
      </c>
      <c r="CI118" s="28"/>
      <c r="CJ118" s="55" t="s">
        <v>41</v>
      </c>
      <c r="CK118" s="72">
        <v>1</v>
      </c>
      <c r="CL118" s="70">
        <v>2</v>
      </c>
      <c r="CM118" s="70">
        <v>3</v>
      </c>
      <c r="CN118" s="70">
        <v>4</v>
      </c>
      <c r="CO118" s="70">
        <v>5</v>
      </c>
      <c r="CP118" s="70">
        <v>6</v>
      </c>
      <c r="CQ118" s="70">
        <v>7</v>
      </c>
      <c r="CR118" s="70">
        <v>8</v>
      </c>
      <c r="CS118" s="70">
        <v>9</v>
      </c>
      <c r="CT118" s="70">
        <v>10</v>
      </c>
      <c r="CU118" s="70">
        <v>11</v>
      </c>
      <c r="CV118" s="71">
        <v>12</v>
      </c>
    </row>
    <row r="119" spans="2:100" x14ac:dyDescent="0.2">
      <c r="B119" s="5" t="s">
        <v>100</v>
      </c>
      <c r="C119" s="544">
        <f t="shared" ref="C119:C131" si="120">IF(D119=0,0,D119/$L$115)</f>
        <v>0</v>
      </c>
      <c r="D119" s="449">
        <f>IF(C113=0,0,SUM(E119:P119))</f>
        <v>0</v>
      </c>
      <c r="E119" s="1455"/>
      <c r="F119" s="1456"/>
      <c r="G119" s="1456"/>
      <c r="H119" s="1456"/>
      <c r="I119" s="1456"/>
      <c r="J119" s="1456"/>
      <c r="K119" s="1456"/>
      <c r="L119" s="1456"/>
      <c r="M119" s="1456"/>
      <c r="N119" s="1456"/>
      <c r="O119" s="1456"/>
      <c r="P119" s="1457"/>
      <c r="T119" s="44" t="s">
        <v>100</v>
      </c>
      <c r="U119" s="544">
        <f>IF(V119=0,0,V119/$AD$115)</f>
        <v>0</v>
      </c>
      <c r="V119" s="449">
        <f t="shared" ref="V119:V131" si="121">D207</f>
        <v>0</v>
      </c>
      <c r="W119" s="740">
        <f t="shared" ref="W119:W131" si="122">E207</f>
        <v>0</v>
      </c>
      <c r="X119" s="741">
        <f t="shared" ref="X119:X131" si="123">F207</f>
        <v>0</v>
      </c>
      <c r="Y119" s="438">
        <f t="shared" ref="Y119:Y131" si="124">G207</f>
        <v>0</v>
      </c>
      <c r="Z119" s="438">
        <f t="shared" ref="Z119:Z131" si="125">H207</f>
        <v>0</v>
      </c>
      <c r="AA119" s="438">
        <f t="shared" ref="AA119:AA131" si="126">I207</f>
        <v>0</v>
      </c>
      <c r="AB119" s="438">
        <f t="shared" ref="AB119:AB131" si="127">J207</f>
        <v>0</v>
      </c>
      <c r="AC119" s="438">
        <f t="shared" ref="AC119:AC131" si="128">K207</f>
        <v>0</v>
      </c>
      <c r="AD119" s="438">
        <f t="shared" ref="AD119:AD131" si="129">L207</f>
        <v>0</v>
      </c>
      <c r="AE119" s="438">
        <f t="shared" ref="AE119:AE131" si="130">M207</f>
        <v>0</v>
      </c>
      <c r="AF119" s="438">
        <f t="shared" ref="AF119:AF131" si="131">N207</f>
        <v>0</v>
      </c>
      <c r="AG119" s="438">
        <f t="shared" ref="AG119:AG131" si="132">O207</f>
        <v>0</v>
      </c>
      <c r="AH119" s="439">
        <f t="shared" ref="AH119:AH131" si="133">P207</f>
        <v>0</v>
      </c>
      <c r="CI119" s="5" t="s">
        <v>100</v>
      </c>
      <c r="CJ119" s="476">
        <f t="shared" ref="CJ119:CJ131" si="134">IF(D9=0,0,(D251+D273)/D9)</f>
        <v>0</v>
      </c>
      <c r="CK119" s="467">
        <f t="shared" ref="CK119:CK131" si="135">IF(E9=0,0,(E251+E273)/E9)</f>
        <v>0</v>
      </c>
      <c r="CL119" s="468">
        <f t="shared" ref="CL119:CL131" si="136">IF(F9=0,0,(F251+F273)/F9)</f>
        <v>0</v>
      </c>
      <c r="CM119" s="468">
        <f t="shared" ref="CM119:CM131" si="137">IF(G9=0,0,(G251+G273)/G9)</f>
        <v>0</v>
      </c>
      <c r="CN119" s="468">
        <f t="shared" ref="CN119:CN131" si="138">IF(H9=0,0,(H251+H273)/H9)</f>
        <v>0</v>
      </c>
      <c r="CO119" s="468">
        <f t="shared" ref="CO119:CO131" si="139">IF(I9=0,0,(I251+I273)/I9)</f>
        <v>0</v>
      </c>
      <c r="CP119" s="468">
        <f t="shared" ref="CP119:CP131" si="140">IF(J9=0,0,(J251+J273)/J9)</f>
        <v>0</v>
      </c>
      <c r="CQ119" s="468">
        <f t="shared" ref="CQ119:CQ131" si="141">IF(K9=0,0,(K251+K273)/K9)</f>
        <v>0</v>
      </c>
      <c r="CR119" s="468">
        <f t="shared" ref="CR119:CR131" si="142">IF(L9=0,0,(L251+L273)/L9)</f>
        <v>0</v>
      </c>
      <c r="CS119" s="468">
        <f t="shared" ref="CS119:CS131" si="143">IF(M9=0,0,(M251+M273)/M9)</f>
        <v>0</v>
      </c>
      <c r="CT119" s="468">
        <f t="shared" ref="CT119:CT131" si="144">IF(N9=0,0,(N251+N273)/N9)</f>
        <v>0</v>
      </c>
      <c r="CU119" s="468">
        <f t="shared" ref="CU119:CU131" si="145">IF(O9=0,0,(O251+O273)/O9)</f>
        <v>0</v>
      </c>
      <c r="CV119" s="469">
        <f t="shared" ref="CV119:CV131" si="146">IF(P9=0,0,(P251+P273)/P9)</f>
        <v>0</v>
      </c>
    </row>
    <row r="120" spans="2:100" x14ac:dyDescent="0.2">
      <c r="B120" s="57" t="s">
        <v>108</v>
      </c>
      <c r="C120" s="501">
        <f t="shared" si="120"/>
        <v>0</v>
      </c>
      <c r="D120" s="450">
        <f>IF(C113=0,0,SUM(E120:P120))</f>
        <v>0</v>
      </c>
      <c r="E120" s="1458"/>
      <c r="F120" s="1459"/>
      <c r="G120" s="1459"/>
      <c r="H120" s="1459"/>
      <c r="I120" s="1459"/>
      <c r="J120" s="1459"/>
      <c r="K120" s="1459"/>
      <c r="L120" s="1459"/>
      <c r="M120" s="1459"/>
      <c r="N120" s="1459"/>
      <c r="O120" s="1459"/>
      <c r="P120" s="1460"/>
      <c r="T120" s="28" t="s">
        <v>108</v>
      </c>
      <c r="U120" s="501">
        <f t="shared" ref="U120:U131" si="147">IF(V120=0,0,V120/$AD$115)</f>
        <v>0</v>
      </c>
      <c r="V120" s="450">
        <f t="shared" si="121"/>
        <v>0</v>
      </c>
      <c r="W120" s="437">
        <f t="shared" si="122"/>
        <v>0</v>
      </c>
      <c r="X120" s="438">
        <f t="shared" si="123"/>
        <v>0</v>
      </c>
      <c r="Y120" s="438">
        <f t="shared" si="124"/>
        <v>0</v>
      </c>
      <c r="Z120" s="438">
        <f t="shared" si="125"/>
        <v>0</v>
      </c>
      <c r="AA120" s="438">
        <f t="shared" si="126"/>
        <v>0</v>
      </c>
      <c r="AB120" s="438">
        <f t="shared" si="127"/>
        <v>0</v>
      </c>
      <c r="AC120" s="438">
        <f t="shared" si="128"/>
        <v>0</v>
      </c>
      <c r="AD120" s="438">
        <f t="shared" si="129"/>
        <v>0</v>
      </c>
      <c r="AE120" s="438">
        <f t="shared" si="130"/>
        <v>0</v>
      </c>
      <c r="AF120" s="438">
        <f t="shared" si="131"/>
        <v>0</v>
      </c>
      <c r="AG120" s="438">
        <f t="shared" si="132"/>
        <v>0</v>
      </c>
      <c r="AH120" s="439">
        <f t="shared" si="133"/>
        <v>0</v>
      </c>
      <c r="CI120" s="57" t="s">
        <v>108</v>
      </c>
      <c r="CJ120" s="477">
        <f t="shared" si="134"/>
        <v>0</v>
      </c>
      <c r="CK120" s="470">
        <f t="shared" si="135"/>
        <v>0</v>
      </c>
      <c r="CL120" s="471">
        <f t="shared" si="136"/>
        <v>0</v>
      </c>
      <c r="CM120" s="471">
        <f t="shared" si="137"/>
        <v>0</v>
      </c>
      <c r="CN120" s="471">
        <f t="shared" si="138"/>
        <v>0</v>
      </c>
      <c r="CO120" s="471">
        <f t="shared" si="139"/>
        <v>0</v>
      </c>
      <c r="CP120" s="471">
        <f t="shared" si="140"/>
        <v>0</v>
      </c>
      <c r="CQ120" s="471">
        <f t="shared" si="141"/>
        <v>0</v>
      </c>
      <c r="CR120" s="471">
        <f t="shared" si="142"/>
        <v>0</v>
      </c>
      <c r="CS120" s="471">
        <f t="shared" si="143"/>
        <v>0</v>
      </c>
      <c r="CT120" s="471">
        <f t="shared" si="144"/>
        <v>0</v>
      </c>
      <c r="CU120" s="471">
        <f t="shared" si="145"/>
        <v>0</v>
      </c>
      <c r="CV120" s="472">
        <f t="shared" si="146"/>
        <v>0</v>
      </c>
    </row>
    <row r="121" spans="2:100" x14ac:dyDescent="0.2">
      <c r="B121" s="57" t="s">
        <v>101</v>
      </c>
      <c r="C121" s="450">
        <f t="shared" si="120"/>
        <v>0</v>
      </c>
      <c r="D121" s="439">
        <f>IF(C113=0,0,SUM(E121:P121))</f>
        <v>0</v>
      </c>
      <c r="E121" s="1458"/>
      <c r="F121" s="1459"/>
      <c r="G121" s="1459"/>
      <c r="H121" s="1459"/>
      <c r="I121" s="1459"/>
      <c r="J121" s="1459"/>
      <c r="K121" s="1459"/>
      <c r="L121" s="1459"/>
      <c r="M121" s="1459"/>
      <c r="N121" s="1459"/>
      <c r="O121" s="1459"/>
      <c r="P121" s="1460"/>
      <c r="T121" s="28" t="s">
        <v>101</v>
      </c>
      <c r="U121" s="450">
        <f t="shared" si="147"/>
        <v>0</v>
      </c>
      <c r="V121" s="439">
        <f t="shared" si="121"/>
        <v>0</v>
      </c>
      <c r="W121" s="437">
        <f t="shared" si="122"/>
        <v>0</v>
      </c>
      <c r="X121" s="438">
        <f t="shared" si="123"/>
        <v>0</v>
      </c>
      <c r="Y121" s="438">
        <f t="shared" si="124"/>
        <v>0</v>
      </c>
      <c r="Z121" s="438">
        <f t="shared" si="125"/>
        <v>0</v>
      </c>
      <c r="AA121" s="438">
        <f t="shared" si="126"/>
        <v>0</v>
      </c>
      <c r="AB121" s="438">
        <f t="shared" si="127"/>
        <v>0</v>
      </c>
      <c r="AC121" s="438">
        <f t="shared" si="128"/>
        <v>0</v>
      </c>
      <c r="AD121" s="438">
        <f t="shared" si="129"/>
        <v>0</v>
      </c>
      <c r="AE121" s="438">
        <f t="shared" si="130"/>
        <v>0</v>
      </c>
      <c r="AF121" s="438">
        <f t="shared" si="131"/>
        <v>0</v>
      </c>
      <c r="AG121" s="438">
        <f t="shared" si="132"/>
        <v>0</v>
      </c>
      <c r="AH121" s="439">
        <f t="shared" si="133"/>
        <v>0</v>
      </c>
      <c r="CI121" s="57" t="s">
        <v>101</v>
      </c>
      <c r="CJ121" s="477">
        <f t="shared" si="134"/>
        <v>0</v>
      </c>
      <c r="CK121" s="470">
        <f t="shared" si="135"/>
        <v>0</v>
      </c>
      <c r="CL121" s="471">
        <f t="shared" si="136"/>
        <v>0</v>
      </c>
      <c r="CM121" s="471">
        <f t="shared" si="137"/>
        <v>0</v>
      </c>
      <c r="CN121" s="471">
        <f t="shared" si="138"/>
        <v>0</v>
      </c>
      <c r="CO121" s="471">
        <f t="shared" si="139"/>
        <v>0</v>
      </c>
      <c r="CP121" s="471">
        <f t="shared" si="140"/>
        <v>0</v>
      </c>
      <c r="CQ121" s="471">
        <f t="shared" si="141"/>
        <v>0</v>
      </c>
      <c r="CR121" s="471">
        <f t="shared" si="142"/>
        <v>0</v>
      </c>
      <c r="CS121" s="471">
        <f t="shared" si="143"/>
        <v>0</v>
      </c>
      <c r="CT121" s="471">
        <f t="shared" si="144"/>
        <v>0</v>
      </c>
      <c r="CU121" s="471">
        <f t="shared" si="145"/>
        <v>0</v>
      </c>
      <c r="CV121" s="472">
        <f t="shared" si="146"/>
        <v>0</v>
      </c>
    </row>
    <row r="122" spans="2:100" x14ac:dyDescent="0.2">
      <c r="B122" s="57" t="s">
        <v>102</v>
      </c>
      <c r="C122" s="450">
        <f t="shared" si="120"/>
        <v>0</v>
      </c>
      <c r="D122" s="439">
        <f>IF(C113=0,0,SUM(E122:P122))</f>
        <v>0</v>
      </c>
      <c r="E122" s="1461"/>
      <c r="F122" s="1462"/>
      <c r="G122" s="1462"/>
      <c r="H122" s="1462"/>
      <c r="I122" s="1462"/>
      <c r="J122" s="1462"/>
      <c r="K122" s="1462"/>
      <c r="L122" s="1462"/>
      <c r="M122" s="1462"/>
      <c r="N122" s="1462"/>
      <c r="O122" s="1462"/>
      <c r="P122" s="1463"/>
      <c r="T122" s="28" t="s">
        <v>102</v>
      </c>
      <c r="U122" s="450">
        <f t="shared" si="147"/>
        <v>0</v>
      </c>
      <c r="V122" s="439">
        <f t="shared" si="121"/>
        <v>0</v>
      </c>
      <c r="W122" s="437">
        <f t="shared" si="122"/>
        <v>0</v>
      </c>
      <c r="X122" s="438">
        <f t="shared" si="123"/>
        <v>0</v>
      </c>
      <c r="Y122" s="438">
        <f t="shared" si="124"/>
        <v>0</v>
      </c>
      <c r="Z122" s="438">
        <f t="shared" si="125"/>
        <v>0</v>
      </c>
      <c r="AA122" s="438">
        <f t="shared" si="126"/>
        <v>0</v>
      </c>
      <c r="AB122" s="438">
        <f t="shared" si="127"/>
        <v>0</v>
      </c>
      <c r="AC122" s="438">
        <f t="shared" si="128"/>
        <v>0</v>
      </c>
      <c r="AD122" s="438">
        <f t="shared" si="129"/>
        <v>0</v>
      </c>
      <c r="AE122" s="438">
        <f t="shared" si="130"/>
        <v>0</v>
      </c>
      <c r="AF122" s="438">
        <f t="shared" si="131"/>
        <v>0</v>
      </c>
      <c r="AG122" s="438">
        <f t="shared" si="132"/>
        <v>0</v>
      </c>
      <c r="AH122" s="439">
        <f t="shared" si="133"/>
        <v>0</v>
      </c>
      <c r="CI122" s="57" t="s">
        <v>102</v>
      </c>
      <c r="CJ122" s="477">
        <f t="shared" si="134"/>
        <v>0</v>
      </c>
      <c r="CK122" s="470">
        <f t="shared" si="135"/>
        <v>0</v>
      </c>
      <c r="CL122" s="471">
        <f t="shared" si="136"/>
        <v>0</v>
      </c>
      <c r="CM122" s="471">
        <f t="shared" si="137"/>
        <v>0</v>
      </c>
      <c r="CN122" s="471">
        <f t="shared" si="138"/>
        <v>0</v>
      </c>
      <c r="CO122" s="471">
        <f t="shared" si="139"/>
        <v>0</v>
      </c>
      <c r="CP122" s="471">
        <f t="shared" si="140"/>
        <v>0</v>
      </c>
      <c r="CQ122" s="471">
        <f t="shared" si="141"/>
        <v>0</v>
      </c>
      <c r="CR122" s="471">
        <f t="shared" si="142"/>
        <v>0</v>
      </c>
      <c r="CS122" s="471">
        <f t="shared" si="143"/>
        <v>0</v>
      </c>
      <c r="CT122" s="471">
        <f t="shared" si="144"/>
        <v>0</v>
      </c>
      <c r="CU122" s="471">
        <f t="shared" si="145"/>
        <v>0</v>
      </c>
      <c r="CV122" s="472">
        <f t="shared" si="146"/>
        <v>0</v>
      </c>
    </row>
    <row r="123" spans="2:100" x14ac:dyDescent="0.2">
      <c r="B123" s="57" t="s">
        <v>103</v>
      </c>
      <c r="C123" s="450">
        <f t="shared" si="120"/>
        <v>0</v>
      </c>
      <c r="D123" s="439">
        <f>IF(C113=0,0,SUM(E123:P123))</f>
        <v>0</v>
      </c>
      <c r="E123" s="1461"/>
      <c r="F123" s="1462"/>
      <c r="G123" s="1462"/>
      <c r="H123" s="1462"/>
      <c r="I123" s="1462"/>
      <c r="J123" s="1462"/>
      <c r="K123" s="1462"/>
      <c r="L123" s="1462"/>
      <c r="M123" s="1462"/>
      <c r="N123" s="1462"/>
      <c r="O123" s="1462"/>
      <c r="P123" s="1463"/>
      <c r="T123" s="28" t="s">
        <v>103</v>
      </c>
      <c r="U123" s="450">
        <f t="shared" si="147"/>
        <v>0</v>
      </c>
      <c r="V123" s="439">
        <f t="shared" si="121"/>
        <v>0</v>
      </c>
      <c r="W123" s="437">
        <f t="shared" si="122"/>
        <v>0</v>
      </c>
      <c r="X123" s="438">
        <f t="shared" si="123"/>
        <v>0</v>
      </c>
      <c r="Y123" s="438">
        <f t="shared" si="124"/>
        <v>0</v>
      </c>
      <c r="Z123" s="438">
        <f t="shared" si="125"/>
        <v>0</v>
      </c>
      <c r="AA123" s="438">
        <f t="shared" si="126"/>
        <v>0</v>
      </c>
      <c r="AB123" s="438">
        <f t="shared" si="127"/>
        <v>0</v>
      </c>
      <c r="AC123" s="438">
        <f t="shared" si="128"/>
        <v>0</v>
      </c>
      <c r="AD123" s="438">
        <f t="shared" si="129"/>
        <v>0</v>
      </c>
      <c r="AE123" s="438">
        <f t="shared" si="130"/>
        <v>0</v>
      </c>
      <c r="AF123" s="438">
        <f t="shared" si="131"/>
        <v>0</v>
      </c>
      <c r="AG123" s="438">
        <f t="shared" si="132"/>
        <v>0</v>
      </c>
      <c r="AH123" s="439">
        <f t="shared" si="133"/>
        <v>0</v>
      </c>
      <c r="CI123" s="57" t="s">
        <v>103</v>
      </c>
      <c r="CJ123" s="477">
        <f t="shared" si="134"/>
        <v>0</v>
      </c>
      <c r="CK123" s="470">
        <f t="shared" si="135"/>
        <v>0</v>
      </c>
      <c r="CL123" s="471">
        <f t="shared" si="136"/>
        <v>0</v>
      </c>
      <c r="CM123" s="471">
        <f t="shared" si="137"/>
        <v>0</v>
      </c>
      <c r="CN123" s="471">
        <f t="shared" si="138"/>
        <v>0</v>
      </c>
      <c r="CO123" s="471">
        <f t="shared" si="139"/>
        <v>0</v>
      </c>
      <c r="CP123" s="471">
        <f t="shared" si="140"/>
        <v>0</v>
      </c>
      <c r="CQ123" s="471">
        <f t="shared" si="141"/>
        <v>0</v>
      </c>
      <c r="CR123" s="471">
        <f t="shared" si="142"/>
        <v>0</v>
      </c>
      <c r="CS123" s="471">
        <f t="shared" si="143"/>
        <v>0</v>
      </c>
      <c r="CT123" s="471">
        <f t="shared" si="144"/>
        <v>0</v>
      </c>
      <c r="CU123" s="471">
        <f t="shared" si="145"/>
        <v>0</v>
      </c>
      <c r="CV123" s="472">
        <f t="shared" si="146"/>
        <v>0</v>
      </c>
    </row>
    <row r="124" spans="2:100" x14ac:dyDescent="0.2">
      <c r="B124" s="57" t="s">
        <v>104</v>
      </c>
      <c r="C124" s="450">
        <f t="shared" si="120"/>
        <v>0</v>
      </c>
      <c r="D124" s="439">
        <f>IF(C113=0,0,SUM(E124:P124))</f>
        <v>0</v>
      </c>
      <c r="E124" s="1461"/>
      <c r="F124" s="1462"/>
      <c r="G124" s="1462"/>
      <c r="H124" s="1462"/>
      <c r="I124" s="1462"/>
      <c r="J124" s="1462"/>
      <c r="K124" s="1462"/>
      <c r="L124" s="1462"/>
      <c r="M124" s="1462"/>
      <c r="N124" s="1462"/>
      <c r="O124" s="1462"/>
      <c r="P124" s="1463"/>
      <c r="T124" s="28" t="s">
        <v>104</v>
      </c>
      <c r="U124" s="450">
        <f t="shared" si="147"/>
        <v>0</v>
      </c>
      <c r="V124" s="439">
        <f t="shared" si="121"/>
        <v>0</v>
      </c>
      <c r="W124" s="437">
        <f t="shared" si="122"/>
        <v>0</v>
      </c>
      <c r="X124" s="438">
        <f t="shared" si="123"/>
        <v>0</v>
      </c>
      <c r="Y124" s="438">
        <f t="shared" si="124"/>
        <v>0</v>
      </c>
      <c r="Z124" s="438">
        <f t="shared" si="125"/>
        <v>0</v>
      </c>
      <c r="AA124" s="438">
        <f t="shared" si="126"/>
        <v>0</v>
      </c>
      <c r="AB124" s="438">
        <f t="shared" si="127"/>
        <v>0</v>
      </c>
      <c r="AC124" s="438">
        <f t="shared" si="128"/>
        <v>0</v>
      </c>
      <c r="AD124" s="438">
        <f t="shared" si="129"/>
        <v>0</v>
      </c>
      <c r="AE124" s="438">
        <f t="shared" si="130"/>
        <v>0</v>
      </c>
      <c r="AF124" s="438">
        <f t="shared" si="131"/>
        <v>0</v>
      </c>
      <c r="AG124" s="438">
        <f t="shared" si="132"/>
        <v>0</v>
      </c>
      <c r="AH124" s="439">
        <f t="shared" si="133"/>
        <v>0</v>
      </c>
      <c r="CI124" s="57" t="s">
        <v>104</v>
      </c>
      <c r="CJ124" s="477">
        <f t="shared" si="134"/>
        <v>0</v>
      </c>
      <c r="CK124" s="470">
        <f t="shared" si="135"/>
        <v>0</v>
      </c>
      <c r="CL124" s="471">
        <f t="shared" si="136"/>
        <v>0</v>
      </c>
      <c r="CM124" s="471">
        <f t="shared" si="137"/>
        <v>0</v>
      </c>
      <c r="CN124" s="471">
        <f t="shared" si="138"/>
        <v>0</v>
      </c>
      <c r="CO124" s="471">
        <f t="shared" si="139"/>
        <v>0</v>
      </c>
      <c r="CP124" s="471">
        <f t="shared" si="140"/>
        <v>0</v>
      </c>
      <c r="CQ124" s="471">
        <f t="shared" si="141"/>
        <v>0</v>
      </c>
      <c r="CR124" s="471">
        <f t="shared" si="142"/>
        <v>0</v>
      </c>
      <c r="CS124" s="471">
        <f t="shared" si="143"/>
        <v>0</v>
      </c>
      <c r="CT124" s="471">
        <f t="shared" si="144"/>
        <v>0</v>
      </c>
      <c r="CU124" s="471">
        <f t="shared" si="145"/>
        <v>0</v>
      </c>
      <c r="CV124" s="472">
        <f t="shared" si="146"/>
        <v>0</v>
      </c>
    </row>
    <row r="125" spans="2:100" x14ac:dyDescent="0.2">
      <c r="B125" s="57" t="s">
        <v>105</v>
      </c>
      <c r="C125" s="450">
        <f t="shared" si="120"/>
        <v>0</v>
      </c>
      <c r="D125" s="439">
        <f>IF(C113=0,0,SUM(E125:P125))</f>
        <v>0</v>
      </c>
      <c r="E125" s="1461"/>
      <c r="F125" s="1462"/>
      <c r="G125" s="1462"/>
      <c r="H125" s="1462"/>
      <c r="I125" s="1462"/>
      <c r="J125" s="1462"/>
      <c r="K125" s="1462"/>
      <c r="L125" s="1462"/>
      <c r="M125" s="1462"/>
      <c r="N125" s="1462"/>
      <c r="O125" s="1462"/>
      <c r="P125" s="1463"/>
      <c r="T125" s="28" t="s">
        <v>105</v>
      </c>
      <c r="U125" s="450">
        <f t="shared" si="147"/>
        <v>0</v>
      </c>
      <c r="V125" s="439">
        <f t="shared" si="121"/>
        <v>0</v>
      </c>
      <c r="W125" s="437">
        <f t="shared" si="122"/>
        <v>0</v>
      </c>
      <c r="X125" s="438">
        <f t="shared" si="123"/>
        <v>0</v>
      </c>
      <c r="Y125" s="438">
        <f t="shared" si="124"/>
        <v>0</v>
      </c>
      <c r="Z125" s="438">
        <f t="shared" si="125"/>
        <v>0</v>
      </c>
      <c r="AA125" s="438">
        <f t="shared" si="126"/>
        <v>0</v>
      </c>
      <c r="AB125" s="438">
        <f t="shared" si="127"/>
        <v>0</v>
      </c>
      <c r="AC125" s="438">
        <f t="shared" si="128"/>
        <v>0</v>
      </c>
      <c r="AD125" s="438">
        <f t="shared" si="129"/>
        <v>0</v>
      </c>
      <c r="AE125" s="438">
        <f t="shared" si="130"/>
        <v>0</v>
      </c>
      <c r="AF125" s="438">
        <f t="shared" si="131"/>
        <v>0</v>
      </c>
      <c r="AG125" s="438">
        <f t="shared" si="132"/>
        <v>0</v>
      </c>
      <c r="AH125" s="439">
        <f t="shared" si="133"/>
        <v>0</v>
      </c>
      <c r="CI125" s="57" t="s">
        <v>105</v>
      </c>
      <c r="CJ125" s="477">
        <f t="shared" si="134"/>
        <v>0</v>
      </c>
      <c r="CK125" s="470">
        <f t="shared" si="135"/>
        <v>0</v>
      </c>
      <c r="CL125" s="471">
        <f t="shared" si="136"/>
        <v>0</v>
      </c>
      <c r="CM125" s="471">
        <f t="shared" si="137"/>
        <v>0</v>
      </c>
      <c r="CN125" s="471">
        <f t="shared" si="138"/>
        <v>0</v>
      </c>
      <c r="CO125" s="471">
        <f t="shared" si="139"/>
        <v>0</v>
      </c>
      <c r="CP125" s="471">
        <f t="shared" si="140"/>
        <v>0</v>
      </c>
      <c r="CQ125" s="471">
        <f t="shared" si="141"/>
        <v>0</v>
      </c>
      <c r="CR125" s="471">
        <f t="shared" si="142"/>
        <v>0</v>
      </c>
      <c r="CS125" s="471">
        <f t="shared" si="143"/>
        <v>0</v>
      </c>
      <c r="CT125" s="471">
        <f t="shared" si="144"/>
        <v>0</v>
      </c>
      <c r="CU125" s="471">
        <f t="shared" si="145"/>
        <v>0</v>
      </c>
      <c r="CV125" s="472">
        <f t="shared" si="146"/>
        <v>0</v>
      </c>
    </row>
    <row r="126" spans="2:100" x14ac:dyDescent="0.2">
      <c r="B126" s="57" t="s">
        <v>106</v>
      </c>
      <c r="C126" s="450">
        <f t="shared" si="120"/>
        <v>0</v>
      </c>
      <c r="D126" s="439">
        <f>IF(C113=0,0,SUM(E126:P126))</f>
        <v>0</v>
      </c>
      <c r="E126" s="1461"/>
      <c r="F126" s="1462"/>
      <c r="G126" s="1462"/>
      <c r="H126" s="1462"/>
      <c r="I126" s="1462"/>
      <c r="J126" s="1462"/>
      <c r="K126" s="1462"/>
      <c r="L126" s="1462"/>
      <c r="M126" s="1462"/>
      <c r="N126" s="1462"/>
      <c r="O126" s="1462"/>
      <c r="P126" s="1463"/>
      <c r="T126" s="28" t="s">
        <v>106</v>
      </c>
      <c r="U126" s="450">
        <f t="shared" si="147"/>
        <v>0</v>
      </c>
      <c r="V126" s="439">
        <f t="shared" si="121"/>
        <v>0</v>
      </c>
      <c r="W126" s="437">
        <f t="shared" si="122"/>
        <v>0</v>
      </c>
      <c r="X126" s="438">
        <f t="shared" si="123"/>
        <v>0</v>
      </c>
      <c r="Y126" s="438">
        <f t="shared" si="124"/>
        <v>0</v>
      </c>
      <c r="Z126" s="438">
        <f t="shared" si="125"/>
        <v>0</v>
      </c>
      <c r="AA126" s="438">
        <f t="shared" si="126"/>
        <v>0</v>
      </c>
      <c r="AB126" s="438">
        <f t="shared" si="127"/>
        <v>0</v>
      </c>
      <c r="AC126" s="438">
        <f t="shared" si="128"/>
        <v>0</v>
      </c>
      <c r="AD126" s="438">
        <f t="shared" si="129"/>
        <v>0</v>
      </c>
      <c r="AE126" s="438">
        <f t="shared" si="130"/>
        <v>0</v>
      </c>
      <c r="AF126" s="438">
        <f t="shared" si="131"/>
        <v>0</v>
      </c>
      <c r="AG126" s="438">
        <f t="shared" si="132"/>
        <v>0</v>
      </c>
      <c r="AH126" s="439">
        <f t="shared" si="133"/>
        <v>0</v>
      </c>
      <c r="CI126" s="57" t="s">
        <v>106</v>
      </c>
      <c r="CJ126" s="477">
        <f t="shared" si="134"/>
        <v>0</v>
      </c>
      <c r="CK126" s="470">
        <f t="shared" si="135"/>
        <v>0</v>
      </c>
      <c r="CL126" s="471">
        <f t="shared" si="136"/>
        <v>0</v>
      </c>
      <c r="CM126" s="471">
        <f t="shared" si="137"/>
        <v>0</v>
      </c>
      <c r="CN126" s="471">
        <f t="shared" si="138"/>
        <v>0</v>
      </c>
      <c r="CO126" s="471">
        <f t="shared" si="139"/>
        <v>0</v>
      </c>
      <c r="CP126" s="471">
        <f t="shared" si="140"/>
        <v>0</v>
      </c>
      <c r="CQ126" s="471">
        <f t="shared" si="141"/>
        <v>0</v>
      </c>
      <c r="CR126" s="471">
        <f t="shared" si="142"/>
        <v>0</v>
      </c>
      <c r="CS126" s="471">
        <f t="shared" si="143"/>
        <v>0</v>
      </c>
      <c r="CT126" s="471">
        <f t="shared" si="144"/>
        <v>0</v>
      </c>
      <c r="CU126" s="471">
        <f t="shared" si="145"/>
        <v>0</v>
      </c>
      <c r="CV126" s="472">
        <f t="shared" si="146"/>
        <v>0</v>
      </c>
    </row>
    <row r="127" spans="2:100" x14ac:dyDescent="0.2">
      <c r="B127" s="57" t="s">
        <v>37</v>
      </c>
      <c r="C127" s="450">
        <f t="shared" si="120"/>
        <v>0</v>
      </c>
      <c r="D127" s="439">
        <f>IF(C113=0,0,SUM(E127:P127))</f>
        <v>0</v>
      </c>
      <c r="E127" s="1461"/>
      <c r="F127" s="1462"/>
      <c r="G127" s="1462"/>
      <c r="H127" s="1462"/>
      <c r="I127" s="1462"/>
      <c r="J127" s="1462"/>
      <c r="K127" s="1462"/>
      <c r="L127" s="1462"/>
      <c r="M127" s="1462"/>
      <c r="N127" s="1462"/>
      <c r="O127" s="1462"/>
      <c r="P127" s="1463"/>
      <c r="T127" s="28" t="s">
        <v>37</v>
      </c>
      <c r="U127" s="450">
        <f t="shared" si="147"/>
        <v>0</v>
      </c>
      <c r="V127" s="439">
        <f t="shared" si="121"/>
        <v>0</v>
      </c>
      <c r="W127" s="437">
        <f t="shared" si="122"/>
        <v>0</v>
      </c>
      <c r="X127" s="438">
        <f t="shared" si="123"/>
        <v>0</v>
      </c>
      <c r="Y127" s="438">
        <f t="shared" si="124"/>
        <v>0</v>
      </c>
      <c r="Z127" s="438">
        <f t="shared" si="125"/>
        <v>0</v>
      </c>
      <c r="AA127" s="438">
        <f t="shared" si="126"/>
        <v>0</v>
      </c>
      <c r="AB127" s="438">
        <f t="shared" si="127"/>
        <v>0</v>
      </c>
      <c r="AC127" s="438">
        <f t="shared" si="128"/>
        <v>0</v>
      </c>
      <c r="AD127" s="438">
        <f t="shared" si="129"/>
        <v>0</v>
      </c>
      <c r="AE127" s="438">
        <f t="shared" si="130"/>
        <v>0</v>
      </c>
      <c r="AF127" s="438">
        <f t="shared" si="131"/>
        <v>0</v>
      </c>
      <c r="AG127" s="438">
        <f t="shared" si="132"/>
        <v>0</v>
      </c>
      <c r="AH127" s="439">
        <f t="shared" si="133"/>
        <v>0</v>
      </c>
      <c r="CI127" s="57" t="s">
        <v>37</v>
      </c>
      <c r="CJ127" s="477">
        <f t="shared" si="134"/>
        <v>0</v>
      </c>
      <c r="CK127" s="470">
        <f t="shared" si="135"/>
        <v>0</v>
      </c>
      <c r="CL127" s="471">
        <f t="shared" si="136"/>
        <v>0</v>
      </c>
      <c r="CM127" s="471">
        <f t="shared" si="137"/>
        <v>0</v>
      </c>
      <c r="CN127" s="471">
        <f t="shared" si="138"/>
        <v>0</v>
      </c>
      <c r="CO127" s="471">
        <f t="shared" si="139"/>
        <v>0</v>
      </c>
      <c r="CP127" s="471">
        <f t="shared" si="140"/>
        <v>0</v>
      </c>
      <c r="CQ127" s="471">
        <f t="shared" si="141"/>
        <v>0</v>
      </c>
      <c r="CR127" s="471">
        <f t="shared" si="142"/>
        <v>0</v>
      </c>
      <c r="CS127" s="471">
        <f t="shared" si="143"/>
        <v>0</v>
      </c>
      <c r="CT127" s="471">
        <f t="shared" si="144"/>
        <v>0</v>
      </c>
      <c r="CU127" s="471">
        <f t="shared" si="145"/>
        <v>0</v>
      </c>
      <c r="CV127" s="472">
        <f t="shared" si="146"/>
        <v>0</v>
      </c>
    </row>
    <row r="128" spans="2:100" x14ac:dyDescent="0.2">
      <c r="B128" s="57" t="s">
        <v>36</v>
      </c>
      <c r="C128" s="450">
        <f t="shared" si="120"/>
        <v>0</v>
      </c>
      <c r="D128" s="439">
        <f>IF(C113=0,0,SUM(E128:P128))</f>
        <v>0</v>
      </c>
      <c r="E128" s="1464"/>
      <c r="F128" s="1465"/>
      <c r="G128" s="1465"/>
      <c r="H128" s="1465"/>
      <c r="I128" s="1465"/>
      <c r="J128" s="1465"/>
      <c r="K128" s="1465"/>
      <c r="L128" s="1465"/>
      <c r="M128" s="1465"/>
      <c r="N128" s="1465"/>
      <c r="O128" s="1465"/>
      <c r="P128" s="1466"/>
      <c r="T128" s="28" t="s">
        <v>36</v>
      </c>
      <c r="U128" s="450">
        <f t="shared" si="147"/>
        <v>0</v>
      </c>
      <c r="V128" s="439">
        <f t="shared" si="121"/>
        <v>0</v>
      </c>
      <c r="W128" s="437">
        <f t="shared" si="122"/>
        <v>0</v>
      </c>
      <c r="X128" s="438">
        <f t="shared" si="123"/>
        <v>0</v>
      </c>
      <c r="Y128" s="438">
        <f t="shared" si="124"/>
        <v>0</v>
      </c>
      <c r="Z128" s="438">
        <f t="shared" si="125"/>
        <v>0</v>
      </c>
      <c r="AA128" s="438">
        <f t="shared" si="126"/>
        <v>0</v>
      </c>
      <c r="AB128" s="438">
        <f t="shared" si="127"/>
        <v>0</v>
      </c>
      <c r="AC128" s="438">
        <f t="shared" si="128"/>
        <v>0</v>
      </c>
      <c r="AD128" s="438">
        <f t="shared" si="129"/>
        <v>0</v>
      </c>
      <c r="AE128" s="438">
        <f t="shared" si="130"/>
        <v>0</v>
      </c>
      <c r="AF128" s="438">
        <f t="shared" si="131"/>
        <v>0</v>
      </c>
      <c r="AG128" s="438">
        <f t="shared" si="132"/>
        <v>0</v>
      </c>
      <c r="AH128" s="439">
        <f t="shared" si="133"/>
        <v>0</v>
      </c>
      <c r="CI128" s="57" t="s">
        <v>36</v>
      </c>
      <c r="CJ128" s="477">
        <f t="shared" si="134"/>
        <v>0</v>
      </c>
      <c r="CK128" s="470">
        <f t="shared" si="135"/>
        <v>0</v>
      </c>
      <c r="CL128" s="471">
        <f t="shared" si="136"/>
        <v>0</v>
      </c>
      <c r="CM128" s="471">
        <f t="shared" si="137"/>
        <v>0</v>
      </c>
      <c r="CN128" s="471">
        <f t="shared" si="138"/>
        <v>0</v>
      </c>
      <c r="CO128" s="471">
        <f t="shared" si="139"/>
        <v>0</v>
      </c>
      <c r="CP128" s="471">
        <f t="shared" si="140"/>
        <v>0</v>
      </c>
      <c r="CQ128" s="471">
        <f t="shared" si="141"/>
        <v>0</v>
      </c>
      <c r="CR128" s="471">
        <f t="shared" si="142"/>
        <v>0</v>
      </c>
      <c r="CS128" s="471">
        <f t="shared" si="143"/>
        <v>0</v>
      </c>
      <c r="CT128" s="471">
        <f t="shared" si="144"/>
        <v>0</v>
      </c>
      <c r="CU128" s="471">
        <f t="shared" si="145"/>
        <v>0</v>
      </c>
      <c r="CV128" s="472">
        <f t="shared" si="146"/>
        <v>0</v>
      </c>
    </row>
    <row r="129" spans="2:100" x14ac:dyDescent="0.2">
      <c r="B129" s="57" t="s">
        <v>94</v>
      </c>
      <c r="C129" s="450">
        <f t="shared" si="120"/>
        <v>0</v>
      </c>
      <c r="D129" s="486">
        <f>IF(C113=0,0,SUM(E129:P129))</f>
        <v>0</v>
      </c>
      <c r="E129" s="1464"/>
      <c r="F129" s="1465"/>
      <c r="G129" s="1465"/>
      <c r="H129" s="1465"/>
      <c r="I129" s="1465"/>
      <c r="J129" s="1465"/>
      <c r="K129" s="1465"/>
      <c r="L129" s="1465"/>
      <c r="M129" s="1465"/>
      <c r="N129" s="1465"/>
      <c r="O129" s="1465"/>
      <c r="P129" s="1466"/>
      <c r="T129" s="28" t="s">
        <v>94</v>
      </c>
      <c r="U129" s="450">
        <f t="shared" si="147"/>
        <v>0</v>
      </c>
      <c r="V129" s="486">
        <f t="shared" si="121"/>
        <v>0</v>
      </c>
      <c r="W129" s="437">
        <f t="shared" si="122"/>
        <v>0</v>
      </c>
      <c r="X129" s="438">
        <f t="shared" si="123"/>
        <v>0</v>
      </c>
      <c r="Y129" s="438">
        <f t="shared" si="124"/>
        <v>0</v>
      </c>
      <c r="Z129" s="438">
        <f t="shared" si="125"/>
        <v>0</v>
      </c>
      <c r="AA129" s="438">
        <f t="shared" si="126"/>
        <v>0</v>
      </c>
      <c r="AB129" s="438">
        <f t="shared" si="127"/>
        <v>0</v>
      </c>
      <c r="AC129" s="438">
        <f t="shared" si="128"/>
        <v>0</v>
      </c>
      <c r="AD129" s="438">
        <f t="shared" si="129"/>
        <v>0</v>
      </c>
      <c r="AE129" s="438">
        <f t="shared" si="130"/>
        <v>0</v>
      </c>
      <c r="AF129" s="438">
        <f t="shared" si="131"/>
        <v>0</v>
      </c>
      <c r="AG129" s="438">
        <f t="shared" si="132"/>
        <v>0</v>
      </c>
      <c r="AH129" s="439">
        <f t="shared" si="133"/>
        <v>0</v>
      </c>
      <c r="CI129" s="57" t="s">
        <v>94</v>
      </c>
      <c r="CJ129" s="477">
        <f t="shared" si="134"/>
        <v>0</v>
      </c>
      <c r="CK129" s="470">
        <f t="shared" si="135"/>
        <v>0</v>
      </c>
      <c r="CL129" s="471">
        <f t="shared" si="136"/>
        <v>0</v>
      </c>
      <c r="CM129" s="471">
        <f t="shared" si="137"/>
        <v>0</v>
      </c>
      <c r="CN129" s="471">
        <f t="shared" si="138"/>
        <v>0</v>
      </c>
      <c r="CO129" s="471">
        <f t="shared" si="139"/>
        <v>0</v>
      </c>
      <c r="CP129" s="471">
        <f t="shared" si="140"/>
        <v>0</v>
      </c>
      <c r="CQ129" s="471">
        <f t="shared" si="141"/>
        <v>0</v>
      </c>
      <c r="CR129" s="471">
        <f t="shared" si="142"/>
        <v>0</v>
      </c>
      <c r="CS129" s="471">
        <f t="shared" si="143"/>
        <v>0</v>
      </c>
      <c r="CT129" s="471">
        <f t="shared" si="144"/>
        <v>0</v>
      </c>
      <c r="CU129" s="471">
        <f t="shared" si="145"/>
        <v>0</v>
      </c>
      <c r="CV129" s="472">
        <f t="shared" si="146"/>
        <v>0</v>
      </c>
    </row>
    <row r="130" spans="2:100" ht="13.5" thickBot="1" x14ac:dyDescent="0.25">
      <c r="B130" s="40" t="s">
        <v>93</v>
      </c>
      <c r="C130" s="498">
        <f t="shared" si="120"/>
        <v>0</v>
      </c>
      <c r="D130" s="512">
        <f>IF(C113=0,0,SUM(E130:P130))</f>
        <v>0</v>
      </c>
      <c r="E130" s="1464"/>
      <c r="F130" s="1465"/>
      <c r="G130" s="1465"/>
      <c r="H130" s="1465"/>
      <c r="I130" s="1465"/>
      <c r="J130" s="1465"/>
      <c r="K130" s="1465"/>
      <c r="L130" s="1465"/>
      <c r="M130" s="1465"/>
      <c r="N130" s="1465"/>
      <c r="O130" s="1465"/>
      <c r="P130" s="1466"/>
      <c r="T130" s="28" t="s">
        <v>93</v>
      </c>
      <c r="U130" s="498">
        <f t="shared" si="147"/>
        <v>0</v>
      </c>
      <c r="V130" s="512">
        <f t="shared" si="121"/>
        <v>0</v>
      </c>
      <c r="W130" s="484">
        <f t="shared" si="122"/>
        <v>0</v>
      </c>
      <c r="X130" s="485">
        <f t="shared" si="123"/>
        <v>0</v>
      </c>
      <c r="Y130" s="485">
        <f t="shared" si="124"/>
        <v>0</v>
      </c>
      <c r="Z130" s="485">
        <f t="shared" si="125"/>
        <v>0</v>
      </c>
      <c r="AA130" s="485">
        <f t="shared" si="126"/>
        <v>0</v>
      </c>
      <c r="AB130" s="485">
        <f t="shared" si="127"/>
        <v>0</v>
      </c>
      <c r="AC130" s="485">
        <f t="shared" si="128"/>
        <v>0</v>
      </c>
      <c r="AD130" s="485">
        <f t="shared" si="129"/>
        <v>0</v>
      </c>
      <c r="AE130" s="485">
        <f t="shared" si="130"/>
        <v>0</v>
      </c>
      <c r="AF130" s="485">
        <f t="shared" si="131"/>
        <v>0</v>
      </c>
      <c r="AG130" s="485">
        <f t="shared" si="132"/>
        <v>0</v>
      </c>
      <c r="AH130" s="486">
        <f t="shared" si="133"/>
        <v>0</v>
      </c>
      <c r="CI130" s="40" t="s">
        <v>93</v>
      </c>
      <c r="CJ130" s="478">
        <f t="shared" si="134"/>
        <v>0</v>
      </c>
      <c r="CK130" s="473">
        <f t="shared" si="135"/>
        <v>0</v>
      </c>
      <c r="CL130" s="474">
        <f t="shared" si="136"/>
        <v>0</v>
      </c>
      <c r="CM130" s="474">
        <f t="shared" si="137"/>
        <v>0</v>
      </c>
      <c r="CN130" s="474">
        <f t="shared" si="138"/>
        <v>0</v>
      </c>
      <c r="CO130" s="474">
        <f t="shared" si="139"/>
        <v>0</v>
      </c>
      <c r="CP130" s="474">
        <f t="shared" si="140"/>
        <v>0</v>
      </c>
      <c r="CQ130" s="474">
        <f t="shared" si="141"/>
        <v>0</v>
      </c>
      <c r="CR130" s="474">
        <f t="shared" si="142"/>
        <v>0</v>
      </c>
      <c r="CS130" s="474">
        <f t="shared" si="143"/>
        <v>0</v>
      </c>
      <c r="CT130" s="474">
        <f t="shared" si="144"/>
        <v>0</v>
      </c>
      <c r="CU130" s="474">
        <f t="shared" si="145"/>
        <v>0</v>
      </c>
      <c r="CV130" s="475">
        <f t="shared" si="146"/>
        <v>0</v>
      </c>
    </row>
    <row r="131" spans="2:100" ht="13.5" thickBot="1" x14ac:dyDescent="0.25">
      <c r="B131" s="30" t="s">
        <v>107</v>
      </c>
      <c r="C131" s="416">
        <f t="shared" si="120"/>
        <v>0</v>
      </c>
      <c r="D131" s="423">
        <f>IF(C113=0,0,SUM(E131:P131))</f>
        <v>0</v>
      </c>
      <c r="E131" s="461">
        <f>SUM(E119:E130)</f>
        <v>0</v>
      </c>
      <c r="F131" s="453">
        <f>SUM(F119:F130)</f>
        <v>0</v>
      </c>
      <c r="G131" s="453">
        <f>SUM(G119:G130)</f>
        <v>0</v>
      </c>
      <c r="H131" s="453">
        <f>SUM(H119:H130)</f>
        <v>0</v>
      </c>
      <c r="I131" s="453">
        <f t="shared" ref="I131:P131" si="148">SUM(I119:I130)</f>
        <v>0</v>
      </c>
      <c r="J131" s="453">
        <f t="shared" si="148"/>
        <v>0</v>
      </c>
      <c r="K131" s="453">
        <f t="shared" si="148"/>
        <v>0</v>
      </c>
      <c r="L131" s="453">
        <f t="shared" si="148"/>
        <v>0</v>
      </c>
      <c r="M131" s="453">
        <f t="shared" si="148"/>
        <v>0</v>
      </c>
      <c r="N131" s="453">
        <f t="shared" si="148"/>
        <v>0</v>
      </c>
      <c r="O131" s="453">
        <f t="shared" si="148"/>
        <v>0</v>
      </c>
      <c r="P131" s="453">
        <f t="shared" si="148"/>
        <v>0</v>
      </c>
      <c r="T131" s="30" t="s">
        <v>107</v>
      </c>
      <c r="U131" s="416">
        <f t="shared" si="147"/>
        <v>0</v>
      </c>
      <c r="V131" s="423">
        <f t="shared" si="121"/>
        <v>0</v>
      </c>
      <c r="W131" s="461">
        <f t="shared" si="122"/>
        <v>0</v>
      </c>
      <c r="X131" s="453">
        <f t="shared" si="123"/>
        <v>0</v>
      </c>
      <c r="Y131" s="453">
        <f t="shared" si="124"/>
        <v>0</v>
      </c>
      <c r="Z131" s="453">
        <f t="shared" si="125"/>
        <v>0</v>
      </c>
      <c r="AA131" s="453">
        <f t="shared" si="126"/>
        <v>0</v>
      </c>
      <c r="AB131" s="453">
        <f t="shared" si="127"/>
        <v>0</v>
      </c>
      <c r="AC131" s="453">
        <f t="shared" si="128"/>
        <v>0</v>
      </c>
      <c r="AD131" s="453">
        <f t="shared" si="129"/>
        <v>0</v>
      </c>
      <c r="AE131" s="453">
        <f t="shared" si="130"/>
        <v>0</v>
      </c>
      <c r="AF131" s="453">
        <f t="shared" si="131"/>
        <v>0</v>
      </c>
      <c r="AG131" s="453">
        <f t="shared" si="132"/>
        <v>0</v>
      </c>
      <c r="AH131" s="454">
        <f t="shared" si="133"/>
        <v>0</v>
      </c>
      <c r="CI131" s="8" t="s">
        <v>107</v>
      </c>
      <c r="CJ131" s="479">
        <f t="shared" si="134"/>
        <v>0</v>
      </c>
      <c r="CK131" s="480">
        <f t="shared" si="135"/>
        <v>0</v>
      </c>
      <c r="CL131" s="481">
        <f t="shared" si="136"/>
        <v>0</v>
      </c>
      <c r="CM131" s="481">
        <f t="shared" si="137"/>
        <v>0</v>
      </c>
      <c r="CN131" s="481">
        <f t="shared" si="138"/>
        <v>0</v>
      </c>
      <c r="CO131" s="481">
        <f t="shared" si="139"/>
        <v>0</v>
      </c>
      <c r="CP131" s="481">
        <f t="shared" si="140"/>
        <v>0</v>
      </c>
      <c r="CQ131" s="481">
        <f t="shared" si="141"/>
        <v>0</v>
      </c>
      <c r="CR131" s="481">
        <f t="shared" si="142"/>
        <v>0</v>
      </c>
      <c r="CS131" s="481">
        <f t="shared" si="143"/>
        <v>0</v>
      </c>
      <c r="CT131" s="481">
        <f t="shared" si="144"/>
        <v>0</v>
      </c>
      <c r="CU131" s="481">
        <f t="shared" si="145"/>
        <v>0</v>
      </c>
      <c r="CV131" s="482">
        <f t="shared" si="146"/>
        <v>0</v>
      </c>
    </row>
    <row r="132" spans="2:100" ht="27.75" customHeight="1" thickBot="1" x14ac:dyDescent="0.25"/>
    <row r="133" spans="2:100" ht="24" thickBot="1" x14ac:dyDescent="0.4">
      <c r="B133" s="735" t="str">
        <f>'2.1 Verkkopyynti'!K62</f>
        <v>Verkko2</v>
      </c>
      <c r="C133" s="736"/>
      <c r="D133" s="736" t="str">
        <f>'2.1 Verkkopyynti'!L62</f>
        <v>Talvi jää</v>
      </c>
      <c r="E133" s="736"/>
      <c r="F133" s="736"/>
      <c r="G133" s="736"/>
      <c r="H133" s="736"/>
      <c r="I133" s="739"/>
      <c r="T133" s="735" t="str">
        <f>'2.2 Rysäpyynti'!D105</f>
        <v>Isorysä2</v>
      </c>
      <c r="U133" s="736"/>
      <c r="V133" s="736"/>
      <c r="W133" s="377"/>
      <c r="X133" s="377"/>
      <c r="Y133" s="377"/>
      <c r="Z133" s="377"/>
      <c r="AA133" s="734"/>
      <c r="CI133" s="735" t="str">
        <f>T177</f>
        <v>PU-rysä2</v>
      </c>
      <c r="CJ133" s="736"/>
      <c r="CK133" s="736" t="str">
        <f>CK111</f>
        <v>Yhteensä</v>
      </c>
      <c r="CL133" s="377"/>
      <c r="CM133" s="377"/>
      <c r="CN133" s="377"/>
      <c r="CO133" s="377"/>
      <c r="CP133" s="734"/>
    </row>
    <row r="134" spans="2:100" ht="24" thickBot="1" x14ac:dyDescent="0.4">
      <c r="B134" s="39"/>
      <c r="C134" s="39"/>
      <c r="D134" s="43"/>
      <c r="T134" s="39"/>
      <c r="U134" s="39"/>
      <c r="V134" s="43"/>
      <c r="CI134" s="39"/>
      <c r="CJ134" s="39"/>
      <c r="CK134" s="43"/>
    </row>
    <row r="135" spans="2:100" ht="21.75" customHeight="1" thickBot="1" x14ac:dyDescent="0.4">
      <c r="B135" s="30" t="s">
        <v>39</v>
      </c>
      <c r="C135" s="446">
        <f>'2.1 Verkkopyynti'!N64</f>
        <v>0</v>
      </c>
      <c r="D135" s="8" t="s">
        <v>15</v>
      </c>
      <c r="E135" s="41"/>
      <c r="F135" s="42"/>
      <c r="G135" s="8" t="s">
        <v>5</v>
      </c>
      <c r="H135" s="58"/>
      <c r="I135" s="41"/>
      <c r="J135" s="41"/>
      <c r="K135" s="41"/>
      <c r="L135" s="58"/>
      <c r="T135" s="30" t="s">
        <v>39</v>
      </c>
      <c r="U135" s="455">
        <f>C223</f>
        <v>0</v>
      </c>
      <c r="V135" s="8" t="s">
        <v>15</v>
      </c>
      <c r="W135" s="41"/>
      <c r="X135" s="42"/>
      <c r="Y135" s="8" t="s">
        <v>5</v>
      </c>
      <c r="Z135" s="10"/>
      <c r="AA135" s="18"/>
      <c r="AB135" s="18"/>
      <c r="AC135" s="18"/>
      <c r="AD135" s="10"/>
      <c r="CI135" s="30" t="s">
        <v>39</v>
      </c>
      <c r="CJ135" s="455">
        <f>U179</f>
        <v>0</v>
      </c>
      <c r="CK135" s="8" t="s">
        <v>15</v>
      </c>
      <c r="CL135" s="41"/>
      <c r="CM135" s="42"/>
      <c r="CN135" s="8" t="s">
        <v>5</v>
      </c>
      <c r="CO135" s="10"/>
      <c r="CP135" s="18"/>
      <c r="CQ135" s="18"/>
      <c r="CR135" s="18"/>
      <c r="CS135" s="10"/>
    </row>
    <row r="136" spans="2:100" ht="13.5" thickBot="1" x14ac:dyDescent="0.25">
      <c r="B136" s="30" t="s">
        <v>2</v>
      </c>
      <c r="C136" s="1134" t="str">
        <f>IF(C135=0,"0",'2.1 Verkkopyynti'!L67)</f>
        <v>0</v>
      </c>
      <c r="D136" s="8" t="s">
        <v>4</v>
      </c>
      <c r="E136" s="58"/>
      <c r="F136" s="455">
        <f>'2.1 Verkkopyynti'!N68</f>
        <v>0</v>
      </c>
      <c r="G136" s="8" t="s">
        <v>6</v>
      </c>
      <c r="H136" s="41"/>
      <c r="I136" s="41"/>
      <c r="J136" s="41"/>
      <c r="K136" s="58"/>
      <c r="L136" s="446">
        <f>IF(C135=0,0,'2.1 Verkkopyynti'!L71)</f>
        <v>0</v>
      </c>
      <c r="T136" s="30" t="s">
        <v>2</v>
      </c>
      <c r="U136" s="1134" t="str">
        <f>C224</f>
        <v>0</v>
      </c>
      <c r="V136" s="8" t="s">
        <v>4</v>
      </c>
      <c r="W136" s="10"/>
      <c r="X136" s="455">
        <f>F224</f>
        <v>0</v>
      </c>
      <c r="Y136" s="8" t="s">
        <v>6</v>
      </c>
      <c r="Z136" s="18"/>
      <c r="AA136" s="41"/>
      <c r="AB136" s="18"/>
      <c r="AC136" s="10"/>
      <c r="AD136" s="456">
        <f>IF(U135=0,0,AD137/(X136/7))</f>
        <v>0</v>
      </c>
      <c r="CI136" s="30" t="s">
        <v>2</v>
      </c>
      <c r="CJ136" s="1134" t="str">
        <f>U180</f>
        <v>0</v>
      </c>
      <c r="CK136" s="8" t="s">
        <v>4</v>
      </c>
      <c r="CL136" s="10"/>
      <c r="CM136" s="455">
        <f>X180</f>
        <v>0</v>
      </c>
      <c r="CN136" s="8" t="s">
        <v>6</v>
      </c>
      <c r="CO136" s="18"/>
      <c r="CP136" s="41"/>
      <c r="CQ136" s="18"/>
      <c r="CR136" s="10"/>
      <c r="CS136" s="456">
        <f>AD180</f>
        <v>0</v>
      </c>
    </row>
    <row r="137" spans="2:100" ht="13.5" thickBot="1" x14ac:dyDescent="0.25">
      <c r="B137" s="30" t="s">
        <v>3</v>
      </c>
      <c r="C137" s="1134" t="str">
        <f>IF(C135=0,"0",'2.1 Verkkopyynti'!L68)</f>
        <v>0</v>
      </c>
      <c r="D137" s="8" t="s">
        <v>38</v>
      </c>
      <c r="E137" s="58"/>
      <c r="F137" s="456">
        <f>F136/30</f>
        <v>0</v>
      </c>
      <c r="G137" s="40" t="s">
        <v>26</v>
      </c>
      <c r="H137" s="76"/>
      <c r="I137" s="76"/>
      <c r="J137" s="76"/>
      <c r="K137" s="56"/>
      <c r="L137" s="457">
        <f>'2.1 Verkkopyynti'!L72</f>
        <v>0</v>
      </c>
      <c r="T137" s="30" t="s">
        <v>3</v>
      </c>
      <c r="U137" s="1134" t="str">
        <f>C225</f>
        <v>0</v>
      </c>
      <c r="V137" s="8" t="s">
        <v>38</v>
      </c>
      <c r="W137" s="10"/>
      <c r="X137" s="456">
        <f>X136/30</f>
        <v>0</v>
      </c>
      <c r="Y137" s="40" t="s">
        <v>26</v>
      </c>
      <c r="Z137" s="14"/>
      <c r="AA137" s="14"/>
      <c r="AB137" s="14"/>
      <c r="AC137" s="17"/>
      <c r="AD137" s="457">
        <f>L225</f>
        <v>0</v>
      </c>
      <c r="CI137" s="30" t="s">
        <v>3</v>
      </c>
      <c r="CJ137" s="1134" t="str">
        <f>U181</f>
        <v>0</v>
      </c>
      <c r="CK137" s="8" t="s">
        <v>38</v>
      </c>
      <c r="CL137" s="10"/>
      <c r="CM137" s="455">
        <f>X181</f>
        <v>0</v>
      </c>
      <c r="CN137" s="40" t="s">
        <v>26</v>
      </c>
      <c r="CO137" s="14"/>
      <c r="CP137" s="14"/>
      <c r="CQ137" s="14"/>
      <c r="CR137" s="17"/>
      <c r="CS137" s="455">
        <f>AD181</f>
        <v>0</v>
      </c>
    </row>
    <row r="138" spans="2:100" ht="20.100000000000001" customHeight="1" thickBot="1" x14ac:dyDescent="0.25">
      <c r="B138" s="34"/>
      <c r="C138" s="34"/>
      <c r="T138" s="34"/>
      <c r="U138" s="34"/>
      <c r="V138" s="45"/>
      <c r="W138" s="34"/>
      <c r="Y138" s="46"/>
      <c r="Z138" s="34"/>
      <c r="AE138" s="34"/>
      <c r="CI138" s="34"/>
      <c r="CJ138" s="34"/>
      <c r="CK138" s="45"/>
      <c r="CL138" s="34"/>
      <c r="CN138" s="46"/>
      <c r="CO138" s="34"/>
      <c r="CT138" s="34"/>
    </row>
    <row r="139" spans="2:100" ht="13.5" thickBot="1" x14ac:dyDescent="0.25">
      <c r="B139" s="5" t="s">
        <v>73</v>
      </c>
      <c r="C139" s="51" t="s">
        <v>46</v>
      </c>
      <c r="D139" s="81" t="s">
        <v>40</v>
      </c>
      <c r="E139" s="47"/>
      <c r="F139" s="48"/>
      <c r="G139" s="48"/>
      <c r="H139" s="48"/>
      <c r="I139" s="48"/>
      <c r="J139" s="41" t="s">
        <v>42</v>
      </c>
      <c r="K139" s="48"/>
      <c r="L139" s="48"/>
      <c r="M139" s="48"/>
      <c r="N139" s="48"/>
      <c r="O139" s="48"/>
      <c r="P139" s="49"/>
      <c r="T139" s="5" t="s">
        <v>73</v>
      </c>
      <c r="U139" s="51" t="s">
        <v>46</v>
      </c>
      <c r="V139" s="52" t="s">
        <v>40</v>
      </c>
      <c r="W139" s="47"/>
      <c r="X139" s="48"/>
      <c r="Y139" s="48"/>
      <c r="Z139" s="48"/>
      <c r="AA139" s="48"/>
      <c r="AB139" s="41" t="s">
        <v>42</v>
      </c>
      <c r="AC139" s="48"/>
      <c r="AD139" s="48"/>
      <c r="AE139" s="48"/>
      <c r="AF139" s="48"/>
      <c r="AG139" s="48"/>
      <c r="AH139" s="49"/>
      <c r="CI139" s="5" t="s">
        <v>73</v>
      </c>
      <c r="CJ139" s="399" t="s">
        <v>40</v>
      </c>
      <c r="CK139" s="47"/>
      <c r="CL139" s="48"/>
      <c r="CM139" s="48"/>
      <c r="CN139" s="48"/>
      <c r="CO139" s="48"/>
      <c r="CP139" s="41" t="s">
        <v>42</v>
      </c>
      <c r="CQ139" s="48"/>
      <c r="CR139" s="48"/>
      <c r="CS139" s="48"/>
      <c r="CT139" s="48"/>
      <c r="CU139" s="48"/>
      <c r="CV139" s="49"/>
    </row>
    <row r="140" spans="2:100" ht="13.5" customHeight="1" thickBot="1" x14ac:dyDescent="0.25">
      <c r="B140" s="28"/>
      <c r="C140" s="69" t="s">
        <v>47</v>
      </c>
      <c r="D140" s="29" t="s">
        <v>41</v>
      </c>
      <c r="E140" s="80">
        <v>1</v>
      </c>
      <c r="F140" s="33">
        <v>2</v>
      </c>
      <c r="G140" s="33">
        <v>3</v>
      </c>
      <c r="H140" s="33">
        <v>4</v>
      </c>
      <c r="I140" s="33">
        <v>5</v>
      </c>
      <c r="J140" s="33">
        <v>6</v>
      </c>
      <c r="K140" s="33">
        <v>7</v>
      </c>
      <c r="L140" s="33">
        <v>8</v>
      </c>
      <c r="M140" s="33">
        <v>9</v>
      </c>
      <c r="N140" s="33">
        <v>10</v>
      </c>
      <c r="O140" s="33">
        <v>11</v>
      </c>
      <c r="P140" s="79">
        <v>12</v>
      </c>
      <c r="T140" s="54"/>
      <c r="U140" s="69" t="s">
        <v>47</v>
      </c>
      <c r="V140" s="53" t="s">
        <v>41</v>
      </c>
      <c r="W140" s="80">
        <v>1</v>
      </c>
      <c r="X140" s="33">
        <v>2</v>
      </c>
      <c r="Y140" s="33">
        <v>3</v>
      </c>
      <c r="Z140" s="33">
        <v>4</v>
      </c>
      <c r="AA140" s="33">
        <v>5</v>
      </c>
      <c r="AB140" s="33">
        <v>6</v>
      </c>
      <c r="AC140" s="33">
        <v>7</v>
      </c>
      <c r="AD140" s="33">
        <v>8</v>
      </c>
      <c r="AE140" s="33">
        <v>9</v>
      </c>
      <c r="AF140" s="33">
        <v>10</v>
      </c>
      <c r="AG140" s="33">
        <v>11</v>
      </c>
      <c r="AH140" s="79">
        <v>12</v>
      </c>
      <c r="CI140" s="28"/>
      <c r="CJ140" s="55" t="s">
        <v>41</v>
      </c>
      <c r="CK140" s="72">
        <v>1</v>
      </c>
      <c r="CL140" s="70">
        <v>2</v>
      </c>
      <c r="CM140" s="70">
        <v>3</v>
      </c>
      <c r="CN140" s="70">
        <v>4</v>
      </c>
      <c r="CO140" s="70">
        <v>5</v>
      </c>
      <c r="CP140" s="70">
        <v>6</v>
      </c>
      <c r="CQ140" s="70">
        <v>7</v>
      </c>
      <c r="CR140" s="70">
        <v>8</v>
      </c>
      <c r="CS140" s="70">
        <v>9</v>
      </c>
      <c r="CT140" s="70">
        <v>10</v>
      </c>
      <c r="CU140" s="70">
        <v>11</v>
      </c>
      <c r="CV140" s="71">
        <v>12</v>
      </c>
    </row>
    <row r="141" spans="2:100" x14ac:dyDescent="0.2">
      <c r="B141" s="5" t="s">
        <v>100</v>
      </c>
      <c r="C141" s="544">
        <f t="shared" ref="C141:C153" si="149">IF(D141=0,0,D141/$L$137)</f>
        <v>0</v>
      </c>
      <c r="D141" s="449">
        <f>IF(C135=0,0,SUM(E141:P141))</f>
        <v>0</v>
      </c>
      <c r="E141" s="1455"/>
      <c r="F141" s="1456"/>
      <c r="G141" s="1456"/>
      <c r="H141" s="1456"/>
      <c r="I141" s="1456"/>
      <c r="J141" s="1456"/>
      <c r="K141" s="1456"/>
      <c r="L141" s="1456"/>
      <c r="M141" s="1456"/>
      <c r="N141" s="1456"/>
      <c r="O141" s="1456"/>
      <c r="P141" s="1457"/>
      <c r="T141" s="44" t="s">
        <v>100</v>
      </c>
      <c r="U141" s="544">
        <f>IF(V141=0,0,V141/$AD$137)</f>
        <v>0</v>
      </c>
      <c r="V141" s="449">
        <f t="shared" ref="V141:V153" si="150">D229</f>
        <v>0</v>
      </c>
      <c r="W141" s="740">
        <f t="shared" ref="W141:W153" si="151">E229</f>
        <v>0</v>
      </c>
      <c r="X141" s="741">
        <f t="shared" ref="X141:X153" si="152">F229</f>
        <v>0</v>
      </c>
      <c r="Y141" s="438">
        <f t="shared" ref="Y141:Y153" si="153">G229</f>
        <v>0</v>
      </c>
      <c r="Z141" s="438">
        <f t="shared" ref="Z141:Z153" si="154">H229</f>
        <v>0</v>
      </c>
      <c r="AA141" s="438">
        <f t="shared" ref="AA141:AA153" si="155">I229</f>
        <v>0</v>
      </c>
      <c r="AB141" s="438">
        <f t="shared" ref="AB141:AB153" si="156">J229</f>
        <v>0</v>
      </c>
      <c r="AC141" s="438">
        <f t="shared" ref="AC141:AC153" si="157">K229</f>
        <v>0</v>
      </c>
      <c r="AD141" s="438">
        <f t="shared" ref="AD141:AD153" si="158">L229</f>
        <v>0</v>
      </c>
      <c r="AE141" s="438">
        <f t="shared" ref="AE141:AE153" si="159">M229</f>
        <v>0</v>
      </c>
      <c r="AF141" s="438">
        <f t="shared" ref="AF141:AF153" si="160">N229</f>
        <v>0</v>
      </c>
      <c r="AG141" s="438">
        <f t="shared" ref="AG141:AG153" si="161">O229</f>
        <v>0</v>
      </c>
      <c r="AH141" s="439">
        <f t="shared" ref="AH141:AH153" si="162">P229</f>
        <v>0</v>
      </c>
      <c r="CI141" s="5" t="s">
        <v>100</v>
      </c>
      <c r="CJ141" s="476">
        <f t="shared" ref="CJ141:CJ153" si="163">IF(D9=0,0,(D295+D317)/D9)</f>
        <v>0</v>
      </c>
      <c r="CK141" s="467">
        <f t="shared" ref="CK141:CK153" si="164">IF(E9=0,0,(E295+E317)/E9)</f>
        <v>0</v>
      </c>
      <c r="CL141" s="468">
        <f t="shared" ref="CL141:CL153" si="165">IF(F9=0,0,(F295+F317)/F9)</f>
        <v>0</v>
      </c>
      <c r="CM141" s="468">
        <f t="shared" ref="CM141:CM153" si="166">IF(G9=0,0,(G295+G317)/G9)</f>
        <v>0</v>
      </c>
      <c r="CN141" s="468">
        <f t="shared" ref="CN141:CN153" si="167">IF(H9=0,0,(H295+H317)/H9)</f>
        <v>0</v>
      </c>
      <c r="CO141" s="468">
        <f t="shared" ref="CO141:CO153" si="168">IF(I9=0,0,(I295+I317)/I9)</f>
        <v>0</v>
      </c>
      <c r="CP141" s="468">
        <f t="shared" ref="CP141:CP153" si="169">IF(J9=0,0,(J295+J317)/J9)</f>
        <v>0</v>
      </c>
      <c r="CQ141" s="468">
        <f t="shared" ref="CQ141:CQ153" si="170">IF(K9=0,0,(K295+K317)/K9)</f>
        <v>0</v>
      </c>
      <c r="CR141" s="468">
        <f t="shared" ref="CR141:CR153" si="171">IF(L9=0,0,(L295+L317)/L9)</f>
        <v>0</v>
      </c>
      <c r="CS141" s="468">
        <f t="shared" ref="CS141:CS153" si="172">IF(M9=0,0,(M295+M317)/M9)</f>
        <v>0</v>
      </c>
      <c r="CT141" s="468">
        <f t="shared" ref="CT141:CT153" si="173">IF(N9=0,0,(N295+N317)/N9)</f>
        <v>0</v>
      </c>
      <c r="CU141" s="468">
        <f t="shared" ref="CU141:CU153" si="174">IF(O9=0,0,(O295+O317)/O9)</f>
        <v>0</v>
      </c>
      <c r="CV141" s="469">
        <f t="shared" ref="CV141:CV153" si="175">IF(P9=0,0,(P295+P317)/P9)</f>
        <v>0</v>
      </c>
    </row>
    <row r="142" spans="2:100" x14ac:dyDescent="0.2">
      <c r="B142" s="57" t="s">
        <v>108</v>
      </c>
      <c r="C142" s="501">
        <f t="shared" si="149"/>
        <v>0</v>
      </c>
      <c r="D142" s="450">
        <f>IF(C135=0,0,SUM(E142:P142))</f>
        <v>0</v>
      </c>
      <c r="E142" s="1458"/>
      <c r="F142" s="1459"/>
      <c r="G142" s="1459"/>
      <c r="H142" s="1459"/>
      <c r="I142" s="1459"/>
      <c r="J142" s="1459"/>
      <c r="K142" s="1459"/>
      <c r="L142" s="1459"/>
      <c r="M142" s="1459"/>
      <c r="N142" s="1459"/>
      <c r="O142" s="1459"/>
      <c r="P142" s="1460"/>
      <c r="T142" s="28" t="s">
        <v>108</v>
      </c>
      <c r="U142" s="501">
        <f t="shared" ref="U142:U153" si="176">IF(V142=0,0,V142/$AD$137)</f>
        <v>0</v>
      </c>
      <c r="V142" s="450">
        <f t="shared" si="150"/>
        <v>0</v>
      </c>
      <c r="W142" s="437">
        <f t="shared" si="151"/>
        <v>0</v>
      </c>
      <c r="X142" s="438">
        <f t="shared" si="152"/>
        <v>0</v>
      </c>
      <c r="Y142" s="438">
        <f t="shared" si="153"/>
        <v>0</v>
      </c>
      <c r="Z142" s="438">
        <f t="shared" si="154"/>
        <v>0</v>
      </c>
      <c r="AA142" s="438">
        <f t="shared" si="155"/>
        <v>0</v>
      </c>
      <c r="AB142" s="438">
        <f t="shared" si="156"/>
        <v>0</v>
      </c>
      <c r="AC142" s="438">
        <f t="shared" si="157"/>
        <v>0</v>
      </c>
      <c r="AD142" s="438">
        <f t="shared" si="158"/>
        <v>0</v>
      </c>
      <c r="AE142" s="438">
        <f t="shared" si="159"/>
        <v>0</v>
      </c>
      <c r="AF142" s="438">
        <f t="shared" si="160"/>
        <v>0</v>
      </c>
      <c r="AG142" s="438">
        <f t="shared" si="161"/>
        <v>0</v>
      </c>
      <c r="AH142" s="439">
        <f t="shared" si="162"/>
        <v>0</v>
      </c>
      <c r="CI142" s="57" t="s">
        <v>108</v>
      </c>
      <c r="CJ142" s="477">
        <f t="shared" si="163"/>
        <v>0</v>
      </c>
      <c r="CK142" s="470">
        <f t="shared" si="164"/>
        <v>0</v>
      </c>
      <c r="CL142" s="471">
        <f t="shared" si="165"/>
        <v>0</v>
      </c>
      <c r="CM142" s="471">
        <f t="shared" si="166"/>
        <v>0</v>
      </c>
      <c r="CN142" s="471">
        <f t="shared" si="167"/>
        <v>0</v>
      </c>
      <c r="CO142" s="471">
        <f t="shared" si="168"/>
        <v>0</v>
      </c>
      <c r="CP142" s="471">
        <f t="shared" si="169"/>
        <v>0</v>
      </c>
      <c r="CQ142" s="471">
        <f t="shared" si="170"/>
        <v>0</v>
      </c>
      <c r="CR142" s="471">
        <f t="shared" si="171"/>
        <v>0</v>
      </c>
      <c r="CS142" s="471">
        <f t="shared" si="172"/>
        <v>0</v>
      </c>
      <c r="CT142" s="471">
        <f t="shared" si="173"/>
        <v>0</v>
      </c>
      <c r="CU142" s="471">
        <f t="shared" si="174"/>
        <v>0</v>
      </c>
      <c r="CV142" s="472">
        <f t="shared" si="175"/>
        <v>0</v>
      </c>
    </row>
    <row r="143" spans="2:100" x14ac:dyDescent="0.2">
      <c r="B143" s="57" t="s">
        <v>101</v>
      </c>
      <c r="C143" s="450">
        <f t="shared" si="149"/>
        <v>0</v>
      </c>
      <c r="D143" s="439">
        <f>IF(C135=0,0,SUM(E143:P143))</f>
        <v>0</v>
      </c>
      <c r="E143" s="1458"/>
      <c r="F143" s="1459"/>
      <c r="G143" s="1459"/>
      <c r="H143" s="1459"/>
      <c r="I143" s="1459"/>
      <c r="J143" s="1459"/>
      <c r="K143" s="1459"/>
      <c r="L143" s="1459"/>
      <c r="M143" s="1459"/>
      <c r="N143" s="1459"/>
      <c r="O143" s="1459"/>
      <c r="P143" s="1460"/>
      <c r="T143" s="28" t="s">
        <v>101</v>
      </c>
      <c r="U143" s="450">
        <f t="shared" si="176"/>
        <v>0</v>
      </c>
      <c r="V143" s="439">
        <f t="shared" si="150"/>
        <v>0</v>
      </c>
      <c r="W143" s="437">
        <f t="shared" si="151"/>
        <v>0</v>
      </c>
      <c r="X143" s="438">
        <f t="shared" si="152"/>
        <v>0</v>
      </c>
      <c r="Y143" s="438">
        <f t="shared" si="153"/>
        <v>0</v>
      </c>
      <c r="Z143" s="438">
        <f t="shared" si="154"/>
        <v>0</v>
      </c>
      <c r="AA143" s="438">
        <f t="shared" si="155"/>
        <v>0</v>
      </c>
      <c r="AB143" s="438">
        <f t="shared" si="156"/>
        <v>0</v>
      </c>
      <c r="AC143" s="438">
        <f t="shared" si="157"/>
        <v>0</v>
      </c>
      <c r="AD143" s="438">
        <f t="shared" si="158"/>
        <v>0</v>
      </c>
      <c r="AE143" s="438">
        <f t="shared" si="159"/>
        <v>0</v>
      </c>
      <c r="AF143" s="438">
        <f t="shared" si="160"/>
        <v>0</v>
      </c>
      <c r="AG143" s="438">
        <f t="shared" si="161"/>
        <v>0</v>
      </c>
      <c r="AH143" s="439">
        <f t="shared" si="162"/>
        <v>0</v>
      </c>
      <c r="CI143" s="57" t="s">
        <v>101</v>
      </c>
      <c r="CJ143" s="477">
        <f t="shared" si="163"/>
        <v>0</v>
      </c>
      <c r="CK143" s="470">
        <f t="shared" si="164"/>
        <v>0</v>
      </c>
      <c r="CL143" s="471">
        <f t="shared" si="165"/>
        <v>0</v>
      </c>
      <c r="CM143" s="471">
        <f t="shared" si="166"/>
        <v>0</v>
      </c>
      <c r="CN143" s="471">
        <f t="shared" si="167"/>
        <v>0</v>
      </c>
      <c r="CO143" s="471">
        <f t="shared" si="168"/>
        <v>0</v>
      </c>
      <c r="CP143" s="471">
        <f t="shared" si="169"/>
        <v>0</v>
      </c>
      <c r="CQ143" s="471">
        <f t="shared" si="170"/>
        <v>0</v>
      </c>
      <c r="CR143" s="471">
        <f t="shared" si="171"/>
        <v>0</v>
      </c>
      <c r="CS143" s="471">
        <f t="shared" si="172"/>
        <v>0</v>
      </c>
      <c r="CT143" s="471">
        <f t="shared" si="173"/>
        <v>0</v>
      </c>
      <c r="CU143" s="471">
        <f t="shared" si="174"/>
        <v>0</v>
      </c>
      <c r="CV143" s="472">
        <f t="shared" si="175"/>
        <v>0</v>
      </c>
    </row>
    <row r="144" spans="2:100" x14ac:dyDescent="0.2">
      <c r="B144" s="57" t="s">
        <v>102</v>
      </c>
      <c r="C144" s="450">
        <f t="shared" si="149"/>
        <v>0</v>
      </c>
      <c r="D144" s="439">
        <f>IF(C135=0,0,SUM(E144:P144))</f>
        <v>0</v>
      </c>
      <c r="E144" s="1461"/>
      <c r="F144" s="1462"/>
      <c r="G144" s="1462"/>
      <c r="H144" s="1462"/>
      <c r="I144" s="1462"/>
      <c r="J144" s="1462"/>
      <c r="K144" s="1462"/>
      <c r="L144" s="1462"/>
      <c r="M144" s="1462"/>
      <c r="N144" s="1462"/>
      <c r="O144" s="1462"/>
      <c r="P144" s="1463"/>
      <c r="T144" s="28" t="s">
        <v>102</v>
      </c>
      <c r="U144" s="450">
        <f t="shared" si="176"/>
        <v>0</v>
      </c>
      <c r="V144" s="439">
        <f t="shared" si="150"/>
        <v>0</v>
      </c>
      <c r="W144" s="437">
        <f t="shared" si="151"/>
        <v>0</v>
      </c>
      <c r="X144" s="438">
        <f t="shared" si="152"/>
        <v>0</v>
      </c>
      <c r="Y144" s="438">
        <f t="shared" si="153"/>
        <v>0</v>
      </c>
      <c r="Z144" s="438">
        <f t="shared" si="154"/>
        <v>0</v>
      </c>
      <c r="AA144" s="438">
        <f t="shared" si="155"/>
        <v>0</v>
      </c>
      <c r="AB144" s="438">
        <f t="shared" si="156"/>
        <v>0</v>
      </c>
      <c r="AC144" s="438">
        <f t="shared" si="157"/>
        <v>0</v>
      </c>
      <c r="AD144" s="438">
        <f t="shared" si="158"/>
        <v>0</v>
      </c>
      <c r="AE144" s="438">
        <f t="shared" si="159"/>
        <v>0</v>
      </c>
      <c r="AF144" s="438">
        <f t="shared" si="160"/>
        <v>0</v>
      </c>
      <c r="AG144" s="438">
        <f t="shared" si="161"/>
        <v>0</v>
      </c>
      <c r="AH144" s="439">
        <f t="shared" si="162"/>
        <v>0</v>
      </c>
      <c r="CI144" s="57" t="s">
        <v>102</v>
      </c>
      <c r="CJ144" s="477">
        <f t="shared" si="163"/>
        <v>0</v>
      </c>
      <c r="CK144" s="470">
        <f t="shared" si="164"/>
        <v>0</v>
      </c>
      <c r="CL144" s="471">
        <f t="shared" si="165"/>
        <v>0</v>
      </c>
      <c r="CM144" s="471">
        <f t="shared" si="166"/>
        <v>0</v>
      </c>
      <c r="CN144" s="471">
        <f t="shared" si="167"/>
        <v>0</v>
      </c>
      <c r="CO144" s="471">
        <f t="shared" si="168"/>
        <v>0</v>
      </c>
      <c r="CP144" s="471">
        <f t="shared" si="169"/>
        <v>0</v>
      </c>
      <c r="CQ144" s="471">
        <f t="shared" si="170"/>
        <v>0</v>
      </c>
      <c r="CR144" s="471">
        <f t="shared" si="171"/>
        <v>0</v>
      </c>
      <c r="CS144" s="471">
        <f t="shared" si="172"/>
        <v>0</v>
      </c>
      <c r="CT144" s="471">
        <f t="shared" si="173"/>
        <v>0</v>
      </c>
      <c r="CU144" s="471">
        <f t="shared" si="174"/>
        <v>0</v>
      </c>
      <c r="CV144" s="472">
        <f t="shared" si="175"/>
        <v>0</v>
      </c>
    </row>
    <row r="145" spans="2:100" x14ac:dyDescent="0.2">
      <c r="B145" s="57" t="s">
        <v>103</v>
      </c>
      <c r="C145" s="450">
        <f t="shared" si="149"/>
        <v>0</v>
      </c>
      <c r="D145" s="439">
        <f>IF(C135=0,0,SUM(E145:P145))</f>
        <v>0</v>
      </c>
      <c r="E145" s="1461"/>
      <c r="F145" s="1462"/>
      <c r="G145" s="1462"/>
      <c r="H145" s="1462"/>
      <c r="I145" s="1462"/>
      <c r="J145" s="1462"/>
      <c r="K145" s="1462"/>
      <c r="L145" s="1462"/>
      <c r="M145" s="1462"/>
      <c r="N145" s="1462"/>
      <c r="O145" s="1462"/>
      <c r="P145" s="1463"/>
      <c r="T145" s="28" t="s">
        <v>103</v>
      </c>
      <c r="U145" s="450">
        <f t="shared" si="176"/>
        <v>0</v>
      </c>
      <c r="V145" s="439">
        <f t="shared" si="150"/>
        <v>0</v>
      </c>
      <c r="W145" s="437">
        <f t="shared" si="151"/>
        <v>0</v>
      </c>
      <c r="X145" s="438">
        <f t="shared" si="152"/>
        <v>0</v>
      </c>
      <c r="Y145" s="438">
        <f t="shared" si="153"/>
        <v>0</v>
      </c>
      <c r="Z145" s="438">
        <f t="shared" si="154"/>
        <v>0</v>
      </c>
      <c r="AA145" s="438">
        <f t="shared" si="155"/>
        <v>0</v>
      </c>
      <c r="AB145" s="438">
        <f t="shared" si="156"/>
        <v>0</v>
      </c>
      <c r="AC145" s="438">
        <f t="shared" si="157"/>
        <v>0</v>
      </c>
      <c r="AD145" s="438">
        <f t="shared" si="158"/>
        <v>0</v>
      </c>
      <c r="AE145" s="438">
        <f t="shared" si="159"/>
        <v>0</v>
      </c>
      <c r="AF145" s="438">
        <f t="shared" si="160"/>
        <v>0</v>
      </c>
      <c r="AG145" s="438">
        <f t="shared" si="161"/>
        <v>0</v>
      </c>
      <c r="AH145" s="439">
        <f t="shared" si="162"/>
        <v>0</v>
      </c>
      <c r="CI145" s="57" t="s">
        <v>103</v>
      </c>
      <c r="CJ145" s="477">
        <f t="shared" si="163"/>
        <v>0</v>
      </c>
      <c r="CK145" s="470">
        <f t="shared" si="164"/>
        <v>0</v>
      </c>
      <c r="CL145" s="471">
        <f t="shared" si="165"/>
        <v>0</v>
      </c>
      <c r="CM145" s="471">
        <f t="shared" si="166"/>
        <v>0</v>
      </c>
      <c r="CN145" s="471">
        <f t="shared" si="167"/>
        <v>0</v>
      </c>
      <c r="CO145" s="471">
        <f t="shared" si="168"/>
        <v>0</v>
      </c>
      <c r="CP145" s="471">
        <f t="shared" si="169"/>
        <v>0</v>
      </c>
      <c r="CQ145" s="471">
        <f t="shared" si="170"/>
        <v>0</v>
      </c>
      <c r="CR145" s="471">
        <f t="shared" si="171"/>
        <v>0</v>
      </c>
      <c r="CS145" s="471">
        <f t="shared" si="172"/>
        <v>0</v>
      </c>
      <c r="CT145" s="471">
        <f t="shared" si="173"/>
        <v>0</v>
      </c>
      <c r="CU145" s="471">
        <f t="shared" si="174"/>
        <v>0</v>
      </c>
      <c r="CV145" s="472">
        <f t="shared" si="175"/>
        <v>0</v>
      </c>
    </row>
    <row r="146" spans="2:100" x14ac:dyDescent="0.2">
      <c r="B146" s="57" t="s">
        <v>104</v>
      </c>
      <c r="C146" s="450">
        <f t="shared" si="149"/>
        <v>0</v>
      </c>
      <c r="D146" s="439">
        <f>IF(C135=0,0,SUM(E146:P146))</f>
        <v>0</v>
      </c>
      <c r="E146" s="1461"/>
      <c r="F146" s="1462"/>
      <c r="G146" s="1462"/>
      <c r="H146" s="1462"/>
      <c r="I146" s="1462"/>
      <c r="J146" s="1462"/>
      <c r="K146" s="1462"/>
      <c r="L146" s="1462"/>
      <c r="M146" s="1462"/>
      <c r="N146" s="1462"/>
      <c r="O146" s="1462"/>
      <c r="P146" s="1463"/>
      <c r="T146" s="28" t="s">
        <v>104</v>
      </c>
      <c r="U146" s="450">
        <f t="shared" si="176"/>
        <v>0</v>
      </c>
      <c r="V146" s="439">
        <f t="shared" si="150"/>
        <v>0</v>
      </c>
      <c r="W146" s="437">
        <f t="shared" si="151"/>
        <v>0</v>
      </c>
      <c r="X146" s="438">
        <f t="shared" si="152"/>
        <v>0</v>
      </c>
      <c r="Y146" s="438">
        <f t="shared" si="153"/>
        <v>0</v>
      </c>
      <c r="Z146" s="438">
        <f t="shared" si="154"/>
        <v>0</v>
      </c>
      <c r="AA146" s="438">
        <f t="shared" si="155"/>
        <v>0</v>
      </c>
      <c r="AB146" s="438">
        <f t="shared" si="156"/>
        <v>0</v>
      </c>
      <c r="AC146" s="438">
        <f t="shared" si="157"/>
        <v>0</v>
      </c>
      <c r="AD146" s="438">
        <f t="shared" si="158"/>
        <v>0</v>
      </c>
      <c r="AE146" s="438">
        <f t="shared" si="159"/>
        <v>0</v>
      </c>
      <c r="AF146" s="438">
        <f t="shared" si="160"/>
        <v>0</v>
      </c>
      <c r="AG146" s="438">
        <f t="shared" si="161"/>
        <v>0</v>
      </c>
      <c r="AH146" s="439">
        <f t="shared" si="162"/>
        <v>0</v>
      </c>
      <c r="CI146" s="57" t="s">
        <v>104</v>
      </c>
      <c r="CJ146" s="477">
        <f t="shared" si="163"/>
        <v>0</v>
      </c>
      <c r="CK146" s="470">
        <f t="shared" si="164"/>
        <v>0</v>
      </c>
      <c r="CL146" s="471">
        <f t="shared" si="165"/>
        <v>0</v>
      </c>
      <c r="CM146" s="471">
        <f t="shared" si="166"/>
        <v>0</v>
      </c>
      <c r="CN146" s="471">
        <f t="shared" si="167"/>
        <v>0</v>
      </c>
      <c r="CO146" s="471">
        <f t="shared" si="168"/>
        <v>0</v>
      </c>
      <c r="CP146" s="471">
        <f t="shared" si="169"/>
        <v>0</v>
      </c>
      <c r="CQ146" s="471">
        <f t="shared" si="170"/>
        <v>0</v>
      </c>
      <c r="CR146" s="471">
        <f t="shared" si="171"/>
        <v>0</v>
      </c>
      <c r="CS146" s="471">
        <f t="shared" si="172"/>
        <v>0</v>
      </c>
      <c r="CT146" s="471">
        <f t="shared" si="173"/>
        <v>0</v>
      </c>
      <c r="CU146" s="471">
        <f t="shared" si="174"/>
        <v>0</v>
      </c>
      <c r="CV146" s="472">
        <f t="shared" si="175"/>
        <v>0</v>
      </c>
    </row>
    <row r="147" spans="2:100" x14ac:dyDescent="0.2">
      <c r="B147" s="57" t="s">
        <v>105</v>
      </c>
      <c r="C147" s="450">
        <f t="shared" si="149"/>
        <v>0</v>
      </c>
      <c r="D147" s="439">
        <f>IF(C135=0,0,SUM(E147:P147))</f>
        <v>0</v>
      </c>
      <c r="E147" s="1461"/>
      <c r="F147" s="1462"/>
      <c r="G147" s="1462"/>
      <c r="H147" s="1462"/>
      <c r="I147" s="1462"/>
      <c r="J147" s="1462"/>
      <c r="K147" s="1462"/>
      <c r="L147" s="1462"/>
      <c r="M147" s="1462"/>
      <c r="N147" s="1462"/>
      <c r="O147" s="1462"/>
      <c r="P147" s="1463"/>
      <c r="T147" s="28" t="s">
        <v>105</v>
      </c>
      <c r="U147" s="450">
        <f t="shared" si="176"/>
        <v>0</v>
      </c>
      <c r="V147" s="439">
        <f t="shared" si="150"/>
        <v>0</v>
      </c>
      <c r="W147" s="437">
        <f t="shared" si="151"/>
        <v>0</v>
      </c>
      <c r="X147" s="438">
        <f t="shared" si="152"/>
        <v>0</v>
      </c>
      <c r="Y147" s="438">
        <f t="shared" si="153"/>
        <v>0</v>
      </c>
      <c r="Z147" s="438">
        <f t="shared" si="154"/>
        <v>0</v>
      </c>
      <c r="AA147" s="438">
        <f t="shared" si="155"/>
        <v>0</v>
      </c>
      <c r="AB147" s="438">
        <f t="shared" si="156"/>
        <v>0</v>
      </c>
      <c r="AC147" s="438">
        <f t="shared" si="157"/>
        <v>0</v>
      </c>
      <c r="AD147" s="438">
        <f t="shared" si="158"/>
        <v>0</v>
      </c>
      <c r="AE147" s="438">
        <f t="shared" si="159"/>
        <v>0</v>
      </c>
      <c r="AF147" s="438">
        <f t="shared" si="160"/>
        <v>0</v>
      </c>
      <c r="AG147" s="438">
        <f t="shared" si="161"/>
        <v>0</v>
      </c>
      <c r="AH147" s="439">
        <f t="shared" si="162"/>
        <v>0</v>
      </c>
      <c r="CI147" s="57" t="s">
        <v>105</v>
      </c>
      <c r="CJ147" s="477">
        <f t="shared" si="163"/>
        <v>0</v>
      </c>
      <c r="CK147" s="470">
        <f t="shared" si="164"/>
        <v>0</v>
      </c>
      <c r="CL147" s="471">
        <f t="shared" si="165"/>
        <v>0</v>
      </c>
      <c r="CM147" s="471">
        <f t="shared" si="166"/>
        <v>0</v>
      </c>
      <c r="CN147" s="471">
        <f t="shared" si="167"/>
        <v>0</v>
      </c>
      <c r="CO147" s="471">
        <f t="shared" si="168"/>
        <v>0</v>
      </c>
      <c r="CP147" s="471">
        <f t="shared" si="169"/>
        <v>0</v>
      </c>
      <c r="CQ147" s="471">
        <f t="shared" si="170"/>
        <v>0</v>
      </c>
      <c r="CR147" s="471">
        <f t="shared" si="171"/>
        <v>0</v>
      </c>
      <c r="CS147" s="471">
        <f t="shared" si="172"/>
        <v>0</v>
      </c>
      <c r="CT147" s="471">
        <f t="shared" si="173"/>
        <v>0</v>
      </c>
      <c r="CU147" s="471">
        <f t="shared" si="174"/>
        <v>0</v>
      </c>
      <c r="CV147" s="472">
        <f t="shared" si="175"/>
        <v>0</v>
      </c>
    </row>
    <row r="148" spans="2:100" x14ac:dyDescent="0.2">
      <c r="B148" s="57" t="s">
        <v>106</v>
      </c>
      <c r="C148" s="450">
        <f t="shared" si="149"/>
        <v>0</v>
      </c>
      <c r="D148" s="439">
        <f>IF(C135=0,0,SUM(E148:P148))</f>
        <v>0</v>
      </c>
      <c r="E148" s="1461"/>
      <c r="F148" s="1462"/>
      <c r="G148" s="1462"/>
      <c r="H148" s="1462"/>
      <c r="I148" s="1462"/>
      <c r="J148" s="1462"/>
      <c r="K148" s="1462"/>
      <c r="L148" s="1462"/>
      <c r="M148" s="1462"/>
      <c r="N148" s="1462"/>
      <c r="O148" s="1462"/>
      <c r="P148" s="1463"/>
      <c r="T148" s="28" t="s">
        <v>106</v>
      </c>
      <c r="U148" s="450">
        <f t="shared" si="176"/>
        <v>0</v>
      </c>
      <c r="V148" s="439">
        <f t="shared" si="150"/>
        <v>0</v>
      </c>
      <c r="W148" s="437">
        <f t="shared" si="151"/>
        <v>0</v>
      </c>
      <c r="X148" s="438">
        <f t="shared" si="152"/>
        <v>0</v>
      </c>
      <c r="Y148" s="438">
        <f t="shared" si="153"/>
        <v>0</v>
      </c>
      <c r="Z148" s="438">
        <f t="shared" si="154"/>
        <v>0</v>
      </c>
      <c r="AA148" s="438">
        <f t="shared" si="155"/>
        <v>0</v>
      </c>
      <c r="AB148" s="438">
        <f t="shared" si="156"/>
        <v>0</v>
      </c>
      <c r="AC148" s="438">
        <f t="shared" si="157"/>
        <v>0</v>
      </c>
      <c r="AD148" s="438">
        <f t="shared" si="158"/>
        <v>0</v>
      </c>
      <c r="AE148" s="438">
        <f t="shared" si="159"/>
        <v>0</v>
      </c>
      <c r="AF148" s="438">
        <f t="shared" si="160"/>
        <v>0</v>
      </c>
      <c r="AG148" s="438">
        <f t="shared" si="161"/>
        <v>0</v>
      </c>
      <c r="AH148" s="439">
        <f t="shared" si="162"/>
        <v>0</v>
      </c>
      <c r="CI148" s="57" t="s">
        <v>106</v>
      </c>
      <c r="CJ148" s="477">
        <f t="shared" si="163"/>
        <v>0</v>
      </c>
      <c r="CK148" s="470">
        <f t="shared" si="164"/>
        <v>0</v>
      </c>
      <c r="CL148" s="471">
        <f t="shared" si="165"/>
        <v>0</v>
      </c>
      <c r="CM148" s="471">
        <f t="shared" si="166"/>
        <v>0</v>
      </c>
      <c r="CN148" s="471">
        <f t="shared" si="167"/>
        <v>0</v>
      </c>
      <c r="CO148" s="471">
        <f t="shared" si="168"/>
        <v>0</v>
      </c>
      <c r="CP148" s="471">
        <f t="shared" si="169"/>
        <v>0</v>
      </c>
      <c r="CQ148" s="471">
        <f t="shared" si="170"/>
        <v>0</v>
      </c>
      <c r="CR148" s="471">
        <f t="shared" si="171"/>
        <v>0</v>
      </c>
      <c r="CS148" s="471">
        <f t="shared" si="172"/>
        <v>0</v>
      </c>
      <c r="CT148" s="471">
        <f t="shared" si="173"/>
        <v>0</v>
      </c>
      <c r="CU148" s="471">
        <f t="shared" si="174"/>
        <v>0</v>
      </c>
      <c r="CV148" s="472">
        <f t="shared" si="175"/>
        <v>0</v>
      </c>
    </row>
    <row r="149" spans="2:100" x14ac:dyDescent="0.2">
      <c r="B149" s="57" t="s">
        <v>37</v>
      </c>
      <c r="C149" s="450">
        <f t="shared" si="149"/>
        <v>0</v>
      </c>
      <c r="D149" s="439">
        <f>IF(C135=0,0,SUM(E149:P149))</f>
        <v>0</v>
      </c>
      <c r="E149" s="1461"/>
      <c r="F149" s="1462"/>
      <c r="G149" s="1462"/>
      <c r="H149" s="1462"/>
      <c r="I149" s="1462"/>
      <c r="J149" s="1462"/>
      <c r="K149" s="1462"/>
      <c r="L149" s="1462"/>
      <c r="M149" s="1462"/>
      <c r="N149" s="1462"/>
      <c r="O149" s="1462"/>
      <c r="P149" s="1463"/>
      <c r="T149" s="28" t="s">
        <v>37</v>
      </c>
      <c r="U149" s="450">
        <f t="shared" si="176"/>
        <v>0</v>
      </c>
      <c r="V149" s="439">
        <f t="shared" si="150"/>
        <v>0</v>
      </c>
      <c r="W149" s="437">
        <f t="shared" si="151"/>
        <v>0</v>
      </c>
      <c r="X149" s="438">
        <f t="shared" si="152"/>
        <v>0</v>
      </c>
      <c r="Y149" s="438">
        <f t="shared" si="153"/>
        <v>0</v>
      </c>
      <c r="Z149" s="438">
        <f t="shared" si="154"/>
        <v>0</v>
      </c>
      <c r="AA149" s="438">
        <f t="shared" si="155"/>
        <v>0</v>
      </c>
      <c r="AB149" s="438">
        <f t="shared" si="156"/>
        <v>0</v>
      </c>
      <c r="AC149" s="438">
        <f t="shared" si="157"/>
        <v>0</v>
      </c>
      <c r="AD149" s="438">
        <f t="shared" si="158"/>
        <v>0</v>
      </c>
      <c r="AE149" s="438">
        <f t="shared" si="159"/>
        <v>0</v>
      </c>
      <c r="AF149" s="438">
        <f t="shared" si="160"/>
        <v>0</v>
      </c>
      <c r="AG149" s="438">
        <f t="shared" si="161"/>
        <v>0</v>
      </c>
      <c r="AH149" s="439">
        <f t="shared" si="162"/>
        <v>0</v>
      </c>
      <c r="CI149" s="57" t="s">
        <v>37</v>
      </c>
      <c r="CJ149" s="477">
        <f t="shared" si="163"/>
        <v>0</v>
      </c>
      <c r="CK149" s="470">
        <f t="shared" si="164"/>
        <v>0</v>
      </c>
      <c r="CL149" s="471">
        <f t="shared" si="165"/>
        <v>0</v>
      </c>
      <c r="CM149" s="471">
        <f t="shared" si="166"/>
        <v>0</v>
      </c>
      <c r="CN149" s="471">
        <f t="shared" si="167"/>
        <v>0</v>
      </c>
      <c r="CO149" s="471">
        <f t="shared" si="168"/>
        <v>0</v>
      </c>
      <c r="CP149" s="471">
        <f t="shared" si="169"/>
        <v>0</v>
      </c>
      <c r="CQ149" s="471">
        <f t="shared" si="170"/>
        <v>0</v>
      </c>
      <c r="CR149" s="471">
        <f t="shared" si="171"/>
        <v>0</v>
      </c>
      <c r="CS149" s="471">
        <f t="shared" si="172"/>
        <v>0</v>
      </c>
      <c r="CT149" s="471">
        <f t="shared" si="173"/>
        <v>0</v>
      </c>
      <c r="CU149" s="471">
        <f t="shared" si="174"/>
        <v>0</v>
      </c>
      <c r="CV149" s="472">
        <f t="shared" si="175"/>
        <v>0</v>
      </c>
    </row>
    <row r="150" spans="2:100" x14ac:dyDescent="0.2">
      <c r="B150" s="57" t="s">
        <v>36</v>
      </c>
      <c r="C150" s="450">
        <f t="shared" si="149"/>
        <v>0</v>
      </c>
      <c r="D150" s="439">
        <f>IF(C135=0,0,SUM(E150:P150))</f>
        <v>0</v>
      </c>
      <c r="E150" s="1464"/>
      <c r="F150" s="1465"/>
      <c r="G150" s="1465"/>
      <c r="H150" s="1465"/>
      <c r="I150" s="1465"/>
      <c r="J150" s="1465"/>
      <c r="K150" s="1465"/>
      <c r="L150" s="1465"/>
      <c r="M150" s="1465"/>
      <c r="N150" s="1465"/>
      <c r="O150" s="1465"/>
      <c r="P150" s="1466"/>
      <c r="T150" s="28" t="s">
        <v>36</v>
      </c>
      <c r="U150" s="450">
        <f t="shared" si="176"/>
        <v>0</v>
      </c>
      <c r="V150" s="439">
        <f t="shared" si="150"/>
        <v>0</v>
      </c>
      <c r="W150" s="437">
        <f t="shared" si="151"/>
        <v>0</v>
      </c>
      <c r="X150" s="438">
        <f t="shared" si="152"/>
        <v>0</v>
      </c>
      <c r="Y150" s="438">
        <f t="shared" si="153"/>
        <v>0</v>
      </c>
      <c r="Z150" s="438">
        <f t="shared" si="154"/>
        <v>0</v>
      </c>
      <c r="AA150" s="438">
        <f t="shared" si="155"/>
        <v>0</v>
      </c>
      <c r="AB150" s="438">
        <f t="shared" si="156"/>
        <v>0</v>
      </c>
      <c r="AC150" s="438">
        <f t="shared" si="157"/>
        <v>0</v>
      </c>
      <c r="AD150" s="438">
        <f t="shared" si="158"/>
        <v>0</v>
      </c>
      <c r="AE150" s="438">
        <f t="shared" si="159"/>
        <v>0</v>
      </c>
      <c r="AF150" s="438">
        <f t="shared" si="160"/>
        <v>0</v>
      </c>
      <c r="AG150" s="438">
        <f t="shared" si="161"/>
        <v>0</v>
      </c>
      <c r="AH150" s="439">
        <f t="shared" si="162"/>
        <v>0</v>
      </c>
      <c r="CI150" s="57" t="s">
        <v>36</v>
      </c>
      <c r="CJ150" s="477">
        <f t="shared" si="163"/>
        <v>0</v>
      </c>
      <c r="CK150" s="470">
        <f t="shared" si="164"/>
        <v>0</v>
      </c>
      <c r="CL150" s="471">
        <f t="shared" si="165"/>
        <v>0</v>
      </c>
      <c r="CM150" s="471">
        <f t="shared" si="166"/>
        <v>0</v>
      </c>
      <c r="CN150" s="471">
        <f t="shared" si="167"/>
        <v>0</v>
      </c>
      <c r="CO150" s="471">
        <f t="shared" si="168"/>
        <v>0</v>
      </c>
      <c r="CP150" s="471">
        <f t="shared" si="169"/>
        <v>0</v>
      </c>
      <c r="CQ150" s="471">
        <f t="shared" si="170"/>
        <v>0</v>
      </c>
      <c r="CR150" s="471">
        <f t="shared" si="171"/>
        <v>0</v>
      </c>
      <c r="CS150" s="471">
        <f t="shared" si="172"/>
        <v>0</v>
      </c>
      <c r="CT150" s="471">
        <f t="shared" si="173"/>
        <v>0</v>
      </c>
      <c r="CU150" s="471">
        <f t="shared" si="174"/>
        <v>0</v>
      </c>
      <c r="CV150" s="472">
        <f t="shared" si="175"/>
        <v>0</v>
      </c>
    </row>
    <row r="151" spans="2:100" x14ac:dyDescent="0.2">
      <c r="B151" s="57" t="s">
        <v>94</v>
      </c>
      <c r="C151" s="450">
        <f t="shared" si="149"/>
        <v>0</v>
      </c>
      <c r="D151" s="486">
        <f>IF(C135=0,0,SUM(E151:P151))</f>
        <v>0</v>
      </c>
      <c r="E151" s="1464"/>
      <c r="F151" s="1465"/>
      <c r="G151" s="1465"/>
      <c r="H151" s="1465"/>
      <c r="I151" s="1465"/>
      <c r="J151" s="1465"/>
      <c r="K151" s="1465"/>
      <c r="L151" s="1465"/>
      <c r="M151" s="1465"/>
      <c r="N151" s="1465"/>
      <c r="O151" s="1465"/>
      <c r="P151" s="1466"/>
      <c r="T151" s="28" t="s">
        <v>94</v>
      </c>
      <c r="U151" s="450">
        <f t="shared" si="176"/>
        <v>0</v>
      </c>
      <c r="V151" s="486">
        <f t="shared" si="150"/>
        <v>0</v>
      </c>
      <c r="W151" s="437">
        <f t="shared" si="151"/>
        <v>0</v>
      </c>
      <c r="X151" s="438">
        <f t="shared" si="152"/>
        <v>0</v>
      </c>
      <c r="Y151" s="438">
        <f t="shared" si="153"/>
        <v>0</v>
      </c>
      <c r="Z151" s="438">
        <f t="shared" si="154"/>
        <v>0</v>
      </c>
      <c r="AA151" s="438">
        <f t="shared" si="155"/>
        <v>0</v>
      </c>
      <c r="AB151" s="438">
        <f t="shared" si="156"/>
        <v>0</v>
      </c>
      <c r="AC151" s="438">
        <f t="shared" si="157"/>
        <v>0</v>
      </c>
      <c r="AD151" s="438">
        <f t="shared" si="158"/>
        <v>0</v>
      </c>
      <c r="AE151" s="438">
        <f t="shared" si="159"/>
        <v>0</v>
      </c>
      <c r="AF151" s="438">
        <f t="shared" si="160"/>
        <v>0</v>
      </c>
      <c r="AG151" s="438">
        <f t="shared" si="161"/>
        <v>0</v>
      </c>
      <c r="AH151" s="439">
        <f t="shared" si="162"/>
        <v>0</v>
      </c>
      <c r="CI151" s="57" t="s">
        <v>94</v>
      </c>
      <c r="CJ151" s="477">
        <f t="shared" si="163"/>
        <v>0</v>
      </c>
      <c r="CK151" s="470">
        <f t="shared" si="164"/>
        <v>0</v>
      </c>
      <c r="CL151" s="471">
        <f t="shared" si="165"/>
        <v>0</v>
      </c>
      <c r="CM151" s="471">
        <f t="shared" si="166"/>
        <v>0</v>
      </c>
      <c r="CN151" s="471">
        <f t="shared" si="167"/>
        <v>0</v>
      </c>
      <c r="CO151" s="471">
        <f t="shared" si="168"/>
        <v>0</v>
      </c>
      <c r="CP151" s="471">
        <f t="shared" si="169"/>
        <v>0</v>
      </c>
      <c r="CQ151" s="471">
        <f t="shared" si="170"/>
        <v>0</v>
      </c>
      <c r="CR151" s="471">
        <f t="shared" si="171"/>
        <v>0</v>
      </c>
      <c r="CS151" s="471">
        <f t="shared" si="172"/>
        <v>0</v>
      </c>
      <c r="CT151" s="471">
        <f t="shared" si="173"/>
        <v>0</v>
      </c>
      <c r="CU151" s="471">
        <f t="shared" si="174"/>
        <v>0</v>
      </c>
      <c r="CV151" s="472">
        <f t="shared" si="175"/>
        <v>0</v>
      </c>
    </row>
    <row r="152" spans="2:100" ht="13.5" thickBot="1" x14ac:dyDescent="0.25">
      <c r="B152" s="40" t="s">
        <v>93</v>
      </c>
      <c r="C152" s="498">
        <f t="shared" si="149"/>
        <v>0</v>
      </c>
      <c r="D152" s="512">
        <f>IF(C135=0,0,SUM(E152:P152))</f>
        <v>0</v>
      </c>
      <c r="E152" s="1464"/>
      <c r="F152" s="1465"/>
      <c r="G152" s="1465"/>
      <c r="H152" s="1465"/>
      <c r="I152" s="1465"/>
      <c r="J152" s="1465"/>
      <c r="K152" s="1465"/>
      <c r="L152" s="1465"/>
      <c r="M152" s="1465"/>
      <c r="N152" s="1465"/>
      <c r="O152" s="1465"/>
      <c r="P152" s="1466"/>
      <c r="T152" s="28" t="s">
        <v>93</v>
      </c>
      <c r="U152" s="498">
        <f t="shared" si="176"/>
        <v>0</v>
      </c>
      <c r="V152" s="512">
        <f t="shared" si="150"/>
        <v>0</v>
      </c>
      <c r="W152" s="484">
        <f t="shared" si="151"/>
        <v>0</v>
      </c>
      <c r="X152" s="485">
        <f t="shared" si="152"/>
        <v>0</v>
      </c>
      <c r="Y152" s="485">
        <f t="shared" si="153"/>
        <v>0</v>
      </c>
      <c r="Z152" s="485">
        <f t="shared" si="154"/>
        <v>0</v>
      </c>
      <c r="AA152" s="485">
        <f t="shared" si="155"/>
        <v>0</v>
      </c>
      <c r="AB152" s="485">
        <f t="shared" si="156"/>
        <v>0</v>
      </c>
      <c r="AC152" s="485">
        <f t="shared" si="157"/>
        <v>0</v>
      </c>
      <c r="AD152" s="485">
        <f t="shared" si="158"/>
        <v>0</v>
      </c>
      <c r="AE152" s="485">
        <f t="shared" si="159"/>
        <v>0</v>
      </c>
      <c r="AF152" s="485">
        <f t="shared" si="160"/>
        <v>0</v>
      </c>
      <c r="AG152" s="485">
        <f t="shared" si="161"/>
        <v>0</v>
      </c>
      <c r="AH152" s="486">
        <f t="shared" si="162"/>
        <v>0</v>
      </c>
      <c r="CI152" s="40" t="s">
        <v>93</v>
      </c>
      <c r="CJ152" s="478">
        <f t="shared" si="163"/>
        <v>0</v>
      </c>
      <c r="CK152" s="473">
        <f t="shared" si="164"/>
        <v>0</v>
      </c>
      <c r="CL152" s="474">
        <f t="shared" si="165"/>
        <v>0</v>
      </c>
      <c r="CM152" s="474">
        <f t="shared" si="166"/>
        <v>0</v>
      </c>
      <c r="CN152" s="474">
        <f t="shared" si="167"/>
        <v>0</v>
      </c>
      <c r="CO152" s="474">
        <f t="shared" si="168"/>
        <v>0</v>
      </c>
      <c r="CP152" s="474">
        <f t="shared" si="169"/>
        <v>0</v>
      </c>
      <c r="CQ152" s="474">
        <f t="shared" si="170"/>
        <v>0</v>
      </c>
      <c r="CR152" s="474">
        <f t="shared" si="171"/>
        <v>0</v>
      </c>
      <c r="CS152" s="474">
        <f t="shared" si="172"/>
        <v>0</v>
      </c>
      <c r="CT152" s="474">
        <f t="shared" si="173"/>
        <v>0</v>
      </c>
      <c r="CU152" s="474">
        <f t="shared" si="174"/>
        <v>0</v>
      </c>
      <c r="CV152" s="475">
        <f t="shared" si="175"/>
        <v>0</v>
      </c>
    </row>
    <row r="153" spans="2:100" ht="13.5" thickBot="1" x14ac:dyDescent="0.25">
      <c r="B153" s="54" t="s">
        <v>107</v>
      </c>
      <c r="C153" s="416">
        <f t="shared" si="149"/>
        <v>0</v>
      </c>
      <c r="D153" s="423">
        <f>IF(C135=0,0,SUM(E153:P153))</f>
        <v>0</v>
      </c>
      <c r="E153" s="461">
        <f>SUM(E141:E152)</f>
        <v>0</v>
      </c>
      <c r="F153" s="453">
        <f t="shared" ref="F153:P153" si="177">SUM(F141:F152)</f>
        <v>0</v>
      </c>
      <c r="G153" s="453">
        <f t="shared" si="177"/>
        <v>0</v>
      </c>
      <c r="H153" s="453">
        <f t="shared" si="177"/>
        <v>0</v>
      </c>
      <c r="I153" s="453">
        <f t="shared" si="177"/>
        <v>0</v>
      </c>
      <c r="J153" s="453">
        <f t="shared" si="177"/>
        <v>0</v>
      </c>
      <c r="K153" s="453">
        <f t="shared" si="177"/>
        <v>0</v>
      </c>
      <c r="L153" s="453">
        <f t="shared" si="177"/>
        <v>0</v>
      </c>
      <c r="M153" s="453">
        <f t="shared" si="177"/>
        <v>0</v>
      </c>
      <c r="N153" s="453">
        <f t="shared" si="177"/>
        <v>0</v>
      </c>
      <c r="O153" s="453">
        <f t="shared" si="177"/>
        <v>0</v>
      </c>
      <c r="P153" s="454">
        <f t="shared" si="177"/>
        <v>0</v>
      </c>
      <c r="T153" s="30" t="s">
        <v>107</v>
      </c>
      <c r="U153" s="416">
        <f t="shared" si="176"/>
        <v>0</v>
      </c>
      <c r="V153" s="423">
        <f t="shared" si="150"/>
        <v>0</v>
      </c>
      <c r="W153" s="461">
        <f t="shared" si="151"/>
        <v>0</v>
      </c>
      <c r="X153" s="453">
        <f t="shared" si="152"/>
        <v>0</v>
      </c>
      <c r="Y153" s="453">
        <f t="shared" si="153"/>
        <v>0</v>
      </c>
      <c r="Z153" s="453">
        <f t="shared" si="154"/>
        <v>0</v>
      </c>
      <c r="AA153" s="453">
        <f t="shared" si="155"/>
        <v>0</v>
      </c>
      <c r="AB153" s="453">
        <f t="shared" si="156"/>
        <v>0</v>
      </c>
      <c r="AC153" s="453">
        <f t="shared" si="157"/>
        <v>0</v>
      </c>
      <c r="AD153" s="453">
        <f t="shared" si="158"/>
        <v>0</v>
      </c>
      <c r="AE153" s="453">
        <f t="shared" si="159"/>
        <v>0</v>
      </c>
      <c r="AF153" s="453">
        <f t="shared" si="160"/>
        <v>0</v>
      </c>
      <c r="AG153" s="453">
        <f t="shared" si="161"/>
        <v>0</v>
      </c>
      <c r="AH153" s="454">
        <f t="shared" si="162"/>
        <v>0</v>
      </c>
      <c r="CI153" s="8" t="s">
        <v>107</v>
      </c>
      <c r="CJ153" s="479">
        <f t="shared" si="163"/>
        <v>0</v>
      </c>
      <c r="CK153" s="480">
        <f t="shared" si="164"/>
        <v>0</v>
      </c>
      <c r="CL153" s="481">
        <f t="shared" si="165"/>
        <v>0</v>
      </c>
      <c r="CM153" s="481">
        <f t="shared" si="166"/>
        <v>0</v>
      </c>
      <c r="CN153" s="481">
        <f t="shared" si="167"/>
        <v>0</v>
      </c>
      <c r="CO153" s="481">
        <f t="shared" si="168"/>
        <v>0</v>
      </c>
      <c r="CP153" s="481">
        <f t="shared" si="169"/>
        <v>0</v>
      </c>
      <c r="CQ153" s="481">
        <f t="shared" si="170"/>
        <v>0</v>
      </c>
      <c r="CR153" s="481">
        <f t="shared" si="171"/>
        <v>0</v>
      </c>
      <c r="CS153" s="481">
        <f t="shared" si="172"/>
        <v>0</v>
      </c>
      <c r="CT153" s="481">
        <f t="shared" si="173"/>
        <v>0</v>
      </c>
      <c r="CU153" s="481">
        <f t="shared" si="174"/>
        <v>0</v>
      </c>
      <c r="CV153" s="482">
        <f t="shared" si="175"/>
        <v>0</v>
      </c>
    </row>
    <row r="154" spans="2:100" ht="24" customHeight="1" thickBot="1" x14ac:dyDescent="0.25">
      <c r="F154" s="27"/>
    </row>
    <row r="155" spans="2:100" ht="24" thickBot="1" x14ac:dyDescent="0.4">
      <c r="B155" s="735" t="str">
        <f>'2.1 Verkkopyynti'!R62</f>
        <v>Verkko2</v>
      </c>
      <c r="C155" s="736"/>
      <c r="D155" s="736" t="str">
        <f>'2.1 Verkkopyynti'!S62</f>
        <v>Kevät</v>
      </c>
      <c r="E155" s="736"/>
      <c r="F155" s="736"/>
      <c r="G155" s="736"/>
      <c r="H155" s="736"/>
      <c r="I155" s="739"/>
      <c r="T155" s="735" t="str">
        <f>'2.2 Rysäpyynti'!K4</f>
        <v>PU-rysä1</v>
      </c>
      <c r="U155" s="736"/>
      <c r="V155" s="736" t="s">
        <v>107</v>
      </c>
      <c r="W155" s="377"/>
      <c r="X155" s="377"/>
      <c r="Y155" s="377"/>
      <c r="Z155" s="377"/>
      <c r="AA155" s="734"/>
    </row>
    <row r="156" spans="2:100" ht="24" thickBot="1" x14ac:dyDescent="0.4">
      <c r="B156" s="39"/>
      <c r="C156" s="39"/>
      <c r="D156" s="43"/>
      <c r="T156" s="39"/>
      <c r="U156" s="39"/>
      <c r="V156" s="43"/>
    </row>
    <row r="157" spans="2:100" ht="21.75" customHeight="1" thickBot="1" x14ac:dyDescent="0.4">
      <c r="B157" s="30" t="s">
        <v>39</v>
      </c>
      <c r="C157" s="446">
        <f>'2.1 Verkkopyynti'!U64</f>
        <v>0</v>
      </c>
      <c r="D157" s="8" t="s">
        <v>15</v>
      </c>
      <c r="E157" s="41"/>
      <c r="F157" s="42"/>
      <c r="G157" s="8" t="s">
        <v>5</v>
      </c>
      <c r="H157" s="58"/>
      <c r="I157" s="41"/>
      <c r="J157" s="41"/>
      <c r="K157" s="41"/>
      <c r="L157" s="58"/>
      <c r="T157" s="30" t="s">
        <v>39</v>
      </c>
      <c r="U157" s="455">
        <f>IF((F246+F268)=0,0,(C245*F246+C267*F268)/(F246+F268))</f>
        <v>0</v>
      </c>
      <c r="V157" s="8" t="s">
        <v>15</v>
      </c>
      <c r="W157" s="41"/>
      <c r="X157" s="42"/>
      <c r="Y157" s="8" t="s">
        <v>5</v>
      </c>
      <c r="Z157" s="10"/>
      <c r="AA157" s="18"/>
      <c r="AB157" s="18"/>
      <c r="AC157" s="18"/>
      <c r="AD157" s="10"/>
    </row>
    <row r="158" spans="2:100" ht="13.5" thickBot="1" x14ac:dyDescent="0.25">
      <c r="B158" s="30" t="s">
        <v>2</v>
      </c>
      <c r="C158" s="1134" t="str">
        <f>IF(C157=0,"0",'2.1 Verkkopyynti'!S67)</f>
        <v>0</v>
      </c>
      <c r="D158" s="8" t="s">
        <v>4</v>
      </c>
      <c r="E158" s="58"/>
      <c r="F158" s="455">
        <f>'2.1 Verkkopyynti'!U68</f>
        <v>0</v>
      </c>
      <c r="G158" s="8" t="s">
        <v>6</v>
      </c>
      <c r="H158" s="41"/>
      <c r="I158" s="41"/>
      <c r="J158" s="41"/>
      <c r="K158" s="58"/>
      <c r="L158" s="457">
        <f>IF(C157=0,0,'2.1 Verkkopyynti'!S71)</f>
        <v>0</v>
      </c>
      <c r="T158" s="30" t="s">
        <v>2</v>
      </c>
      <c r="U158" s="1134" t="str">
        <f>IF(U157=0,"0",MIN(C246,C268))</f>
        <v>0</v>
      </c>
      <c r="V158" s="8" t="s">
        <v>4</v>
      </c>
      <c r="W158" s="10"/>
      <c r="X158" s="455">
        <f>F246+F268</f>
        <v>0</v>
      </c>
      <c r="Y158" s="8" t="s">
        <v>6</v>
      </c>
      <c r="Z158" s="18"/>
      <c r="AA158" s="41"/>
      <c r="AB158" s="18"/>
      <c r="AC158" s="10"/>
      <c r="AD158" s="456">
        <f>IF(U157=0,0,AD159/(X158/7))</f>
        <v>0</v>
      </c>
    </row>
    <row r="159" spans="2:100" ht="13.5" thickBot="1" x14ac:dyDescent="0.25">
      <c r="B159" s="30" t="s">
        <v>3</v>
      </c>
      <c r="C159" s="1134" t="str">
        <f>IF(C157=0,"0",'2.1 Verkkopyynti'!S68)</f>
        <v>0</v>
      </c>
      <c r="D159" s="8" t="s">
        <v>38</v>
      </c>
      <c r="E159" s="58"/>
      <c r="F159" s="456">
        <f>F158/30</f>
        <v>0</v>
      </c>
      <c r="G159" s="40" t="s">
        <v>26</v>
      </c>
      <c r="H159" s="76"/>
      <c r="I159" s="76"/>
      <c r="J159" s="76"/>
      <c r="K159" s="56"/>
      <c r="L159" s="457">
        <f>'2.1 Verkkopyynti'!S72</f>
        <v>0</v>
      </c>
      <c r="T159" s="30" t="s">
        <v>3</v>
      </c>
      <c r="U159" s="1134" t="str">
        <f>IF(U157=0,"0",MAX(C247,C269))</f>
        <v>0</v>
      </c>
      <c r="V159" s="8" t="s">
        <v>38</v>
      </c>
      <c r="W159" s="10"/>
      <c r="X159" s="456">
        <f>X158/30</f>
        <v>0</v>
      </c>
      <c r="Y159" s="40" t="s">
        <v>26</v>
      </c>
      <c r="Z159" s="14"/>
      <c r="AA159" s="14"/>
      <c r="AB159" s="14"/>
      <c r="AC159" s="17"/>
      <c r="AD159" s="457">
        <f>L247+L269</f>
        <v>0</v>
      </c>
    </row>
    <row r="160" spans="2:100" ht="13.5" thickBot="1" x14ac:dyDescent="0.25">
      <c r="T160" s="34"/>
      <c r="U160" s="34"/>
      <c r="V160" s="45"/>
      <c r="W160" s="34"/>
      <c r="Y160" s="46"/>
      <c r="Z160" s="34"/>
      <c r="AE160" s="34"/>
    </row>
    <row r="161" spans="2:34" ht="20.100000000000001" customHeight="1" thickBot="1" x14ac:dyDescent="0.25">
      <c r="B161" s="5" t="s">
        <v>73</v>
      </c>
      <c r="C161" s="51" t="s">
        <v>46</v>
      </c>
      <c r="D161" s="81" t="s">
        <v>40</v>
      </c>
      <c r="E161" s="47"/>
      <c r="F161" s="48"/>
      <c r="G161" s="48"/>
      <c r="H161" s="48"/>
      <c r="I161" s="48"/>
      <c r="J161" s="41" t="s">
        <v>42</v>
      </c>
      <c r="K161" s="48"/>
      <c r="L161" s="48"/>
      <c r="M161" s="48"/>
      <c r="N161" s="48"/>
      <c r="O161" s="48"/>
      <c r="P161" s="49"/>
      <c r="T161" s="5" t="s">
        <v>73</v>
      </c>
      <c r="U161" s="51" t="s">
        <v>46</v>
      </c>
      <c r="V161" s="52" t="s">
        <v>40</v>
      </c>
      <c r="W161" s="47"/>
      <c r="X161" s="48"/>
      <c r="Y161" s="48"/>
      <c r="Z161" s="48"/>
      <c r="AA161" s="48"/>
      <c r="AB161" s="41" t="s">
        <v>42</v>
      </c>
      <c r="AC161" s="48"/>
      <c r="AD161" s="48"/>
      <c r="AE161" s="48"/>
      <c r="AF161" s="48"/>
      <c r="AG161" s="48"/>
      <c r="AH161" s="49"/>
    </row>
    <row r="162" spans="2:34" ht="13.5" thickBot="1" x14ac:dyDescent="0.25">
      <c r="B162" s="28"/>
      <c r="C162" s="69" t="s">
        <v>47</v>
      </c>
      <c r="D162" s="29" t="s">
        <v>41</v>
      </c>
      <c r="E162" s="80">
        <v>1</v>
      </c>
      <c r="F162" s="33">
        <v>2</v>
      </c>
      <c r="G162" s="33">
        <v>3</v>
      </c>
      <c r="H162" s="33">
        <v>4</v>
      </c>
      <c r="I162" s="33">
        <v>5</v>
      </c>
      <c r="J162" s="33">
        <v>6</v>
      </c>
      <c r="K162" s="33">
        <v>7</v>
      </c>
      <c r="L162" s="33">
        <v>8</v>
      </c>
      <c r="M162" s="33">
        <v>9</v>
      </c>
      <c r="N162" s="33">
        <v>10</v>
      </c>
      <c r="O162" s="33">
        <v>11</v>
      </c>
      <c r="P162" s="79">
        <v>12</v>
      </c>
      <c r="T162" s="54"/>
      <c r="U162" s="69" t="s">
        <v>47</v>
      </c>
      <c r="V162" s="53" t="s">
        <v>41</v>
      </c>
      <c r="W162" s="80">
        <v>1</v>
      </c>
      <c r="X162" s="33">
        <v>2</v>
      </c>
      <c r="Y162" s="33">
        <v>3</v>
      </c>
      <c r="Z162" s="33">
        <v>4</v>
      </c>
      <c r="AA162" s="33">
        <v>5</v>
      </c>
      <c r="AB162" s="33">
        <v>6</v>
      </c>
      <c r="AC162" s="33">
        <v>7</v>
      </c>
      <c r="AD162" s="33">
        <v>8</v>
      </c>
      <c r="AE162" s="33">
        <v>9</v>
      </c>
      <c r="AF162" s="33">
        <v>10</v>
      </c>
      <c r="AG162" s="33">
        <v>11</v>
      </c>
      <c r="AH162" s="79">
        <v>12</v>
      </c>
    </row>
    <row r="163" spans="2:34" ht="13.5" customHeight="1" x14ac:dyDescent="0.2">
      <c r="B163" s="5" t="s">
        <v>100</v>
      </c>
      <c r="C163" s="544">
        <f t="shared" ref="C163:C175" si="178">IF(D163=0,0,D163/$L$159)</f>
        <v>0</v>
      </c>
      <c r="D163" s="449">
        <f>IF(C157=0,0,SUM(E163:P163))</f>
        <v>0</v>
      </c>
      <c r="E163" s="1455"/>
      <c r="F163" s="1456"/>
      <c r="G163" s="1456"/>
      <c r="H163" s="1456"/>
      <c r="I163" s="1456"/>
      <c r="J163" s="1456"/>
      <c r="K163" s="1456"/>
      <c r="L163" s="1456"/>
      <c r="M163" s="1456"/>
      <c r="N163" s="1456"/>
      <c r="O163" s="1456"/>
      <c r="P163" s="1457"/>
      <c r="T163" s="44" t="s">
        <v>100</v>
      </c>
      <c r="U163" s="544">
        <f t="shared" ref="U163:U175" si="179">IF(V163=0,0,V163/$AD$159)</f>
        <v>0</v>
      </c>
      <c r="V163" s="449">
        <f t="shared" ref="V163:V175" si="180">D251+D273</f>
        <v>0</v>
      </c>
      <c r="W163" s="740">
        <f t="shared" ref="W163:W175" si="181">E251+E273</f>
        <v>0</v>
      </c>
      <c r="X163" s="741">
        <f t="shared" ref="X163:X175" si="182">F251+F273</f>
        <v>0</v>
      </c>
      <c r="Y163" s="438">
        <f t="shared" ref="Y163:Y175" si="183">G251+G273</f>
        <v>0</v>
      </c>
      <c r="Z163" s="438">
        <f t="shared" ref="Z163:Z175" si="184">H251+H273</f>
        <v>0</v>
      </c>
      <c r="AA163" s="438">
        <f t="shared" ref="AA163:AA175" si="185">I251+I273</f>
        <v>0</v>
      </c>
      <c r="AB163" s="438">
        <f t="shared" ref="AB163:AB175" si="186">J251+J273</f>
        <v>0</v>
      </c>
      <c r="AC163" s="438">
        <f t="shared" ref="AC163:AC175" si="187">K251+K273</f>
        <v>0</v>
      </c>
      <c r="AD163" s="438">
        <f t="shared" ref="AD163:AD175" si="188">L251+L273</f>
        <v>0</v>
      </c>
      <c r="AE163" s="438">
        <f t="shared" ref="AE163:AE175" si="189">M251+M273</f>
        <v>0</v>
      </c>
      <c r="AF163" s="438">
        <f t="shared" ref="AF163:AF175" si="190">N251+N273</f>
        <v>0</v>
      </c>
      <c r="AG163" s="438">
        <f t="shared" ref="AG163:AG175" si="191">O251+O273</f>
        <v>0</v>
      </c>
      <c r="AH163" s="439">
        <f t="shared" ref="AH163:AH175" si="192">P251+P273</f>
        <v>0</v>
      </c>
    </row>
    <row r="164" spans="2:34" ht="13.5" customHeight="1" x14ac:dyDescent="0.2">
      <c r="B164" s="57" t="s">
        <v>108</v>
      </c>
      <c r="C164" s="501">
        <f t="shared" si="178"/>
        <v>0</v>
      </c>
      <c r="D164" s="450">
        <f>IF(C157=0,0,SUM(E164:P164))</f>
        <v>0</v>
      </c>
      <c r="E164" s="1458"/>
      <c r="F164" s="1459"/>
      <c r="G164" s="1459"/>
      <c r="H164" s="1459"/>
      <c r="I164" s="1459"/>
      <c r="J164" s="1459"/>
      <c r="K164" s="1459"/>
      <c r="L164" s="1459"/>
      <c r="M164" s="1459"/>
      <c r="N164" s="1459"/>
      <c r="O164" s="1459"/>
      <c r="P164" s="1460"/>
      <c r="T164" s="28" t="s">
        <v>108</v>
      </c>
      <c r="U164" s="501">
        <f t="shared" si="179"/>
        <v>0</v>
      </c>
      <c r="V164" s="450">
        <f t="shared" si="180"/>
        <v>0</v>
      </c>
      <c r="W164" s="437">
        <f t="shared" si="181"/>
        <v>0</v>
      </c>
      <c r="X164" s="438">
        <f t="shared" si="182"/>
        <v>0</v>
      </c>
      <c r="Y164" s="438">
        <f t="shared" si="183"/>
        <v>0</v>
      </c>
      <c r="Z164" s="438">
        <f t="shared" si="184"/>
        <v>0</v>
      </c>
      <c r="AA164" s="438">
        <f t="shared" si="185"/>
        <v>0</v>
      </c>
      <c r="AB164" s="438">
        <f t="shared" si="186"/>
        <v>0</v>
      </c>
      <c r="AC164" s="438">
        <f t="shared" si="187"/>
        <v>0</v>
      </c>
      <c r="AD164" s="438">
        <f t="shared" si="188"/>
        <v>0</v>
      </c>
      <c r="AE164" s="438">
        <f t="shared" si="189"/>
        <v>0</v>
      </c>
      <c r="AF164" s="438">
        <f t="shared" si="190"/>
        <v>0</v>
      </c>
      <c r="AG164" s="438">
        <f t="shared" si="191"/>
        <v>0</v>
      </c>
      <c r="AH164" s="439">
        <f t="shared" si="192"/>
        <v>0</v>
      </c>
    </row>
    <row r="165" spans="2:34" ht="14.25" customHeight="1" x14ac:dyDescent="0.2">
      <c r="B165" s="57" t="s">
        <v>101</v>
      </c>
      <c r="C165" s="450">
        <f t="shared" si="178"/>
        <v>0</v>
      </c>
      <c r="D165" s="439">
        <f>IF(C157=0,0,SUM(E165:P165))</f>
        <v>0</v>
      </c>
      <c r="E165" s="1458"/>
      <c r="F165" s="1459"/>
      <c r="G165" s="1459"/>
      <c r="H165" s="1459"/>
      <c r="I165" s="1459"/>
      <c r="J165" s="1459"/>
      <c r="K165" s="1459"/>
      <c r="L165" s="1459"/>
      <c r="M165" s="1459"/>
      <c r="N165" s="1459"/>
      <c r="O165" s="1459"/>
      <c r="P165" s="1460"/>
      <c r="T165" s="28" t="s">
        <v>101</v>
      </c>
      <c r="U165" s="450">
        <f t="shared" si="179"/>
        <v>0</v>
      </c>
      <c r="V165" s="439">
        <f t="shared" si="180"/>
        <v>0</v>
      </c>
      <c r="W165" s="437">
        <f t="shared" si="181"/>
        <v>0</v>
      </c>
      <c r="X165" s="438">
        <f t="shared" si="182"/>
        <v>0</v>
      </c>
      <c r="Y165" s="438">
        <f t="shared" si="183"/>
        <v>0</v>
      </c>
      <c r="Z165" s="438">
        <f t="shared" si="184"/>
        <v>0</v>
      </c>
      <c r="AA165" s="438">
        <f t="shared" si="185"/>
        <v>0</v>
      </c>
      <c r="AB165" s="438">
        <f t="shared" si="186"/>
        <v>0</v>
      </c>
      <c r="AC165" s="438">
        <f t="shared" si="187"/>
        <v>0</v>
      </c>
      <c r="AD165" s="438">
        <f t="shared" si="188"/>
        <v>0</v>
      </c>
      <c r="AE165" s="438">
        <f t="shared" si="189"/>
        <v>0</v>
      </c>
      <c r="AF165" s="438">
        <f t="shared" si="190"/>
        <v>0</v>
      </c>
      <c r="AG165" s="438">
        <f t="shared" si="191"/>
        <v>0</v>
      </c>
      <c r="AH165" s="439">
        <f t="shared" si="192"/>
        <v>0</v>
      </c>
    </row>
    <row r="166" spans="2:34" x14ac:dyDescent="0.2">
      <c r="B166" s="57" t="s">
        <v>102</v>
      </c>
      <c r="C166" s="450">
        <f t="shared" si="178"/>
        <v>0</v>
      </c>
      <c r="D166" s="439">
        <f>IF(C157=0,0,SUM(E166:P166))</f>
        <v>0</v>
      </c>
      <c r="E166" s="1461"/>
      <c r="F166" s="1462"/>
      <c r="G166" s="1462"/>
      <c r="H166" s="1462"/>
      <c r="I166" s="1462"/>
      <c r="J166" s="1462"/>
      <c r="K166" s="1462"/>
      <c r="L166" s="1462"/>
      <c r="M166" s="1462"/>
      <c r="N166" s="1462"/>
      <c r="O166" s="1462"/>
      <c r="P166" s="1463"/>
      <c r="T166" s="28" t="s">
        <v>102</v>
      </c>
      <c r="U166" s="450">
        <f t="shared" si="179"/>
        <v>0</v>
      </c>
      <c r="V166" s="439">
        <f t="shared" si="180"/>
        <v>0</v>
      </c>
      <c r="W166" s="437">
        <f t="shared" si="181"/>
        <v>0</v>
      </c>
      <c r="X166" s="438">
        <f t="shared" si="182"/>
        <v>0</v>
      </c>
      <c r="Y166" s="438">
        <f t="shared" si="183"/>
        <v>0</v>
      </c>
      <c r="Z166" s="438">
        <f t="shared" si="184"/>
        <v>0</v>
      </c>
      <c r="AA166" s="438">
        <f t="shared" si="185"/>
        <v>0</v>
      </c>
      <c r="AB166" s="438">
        <f t="shared" si="186"/>
        <v>0</v>
      </c>
      <c r="AC166" s="438">
        <f t="shared" si="187"/>
        <v>0</v>
      </c>
      <c r="AD166" s="438">
        <f t="shared" si="188"/>
        <v>0</v>
      </c>
      <c r="AE166" s="438">
        <f t="shared" si="189"/>
        <v>0</v>
      </c>
      <c r="AF166" s="438">
        <f t="shared" si="190"/>
        <v>0</v>
      </c>
      <c r="AG166" s="438">
        <f t="shared" si="191"/>
        <v>0</v>
      </c>
      <c r="AH166" s="439">
        <f t="shared" si="192"/>
        <v>0</v>
      </c>
    </row>
    <row r="167" spans="2:34" x14ac:dyDescent="0.2">
      <c r="B167" s="57" t="s">
        <v>103</v>
      </c>
      <c r="C167" s="450">
        <f t="shared" si="178"/>
        <v>0</v>
      </c>
      <c r="D167" s="439">
        <f>IF(C157=0,0,SUM(E167:P167))</f>
        <v>0</v>
      </c>
      <c r="E167" s="1461"/>
      <c r="F167" s="1462"/>
      <c r="G167" s="1462"/>
      <c r="H167" s="1462"/>
      <c r="I167" s="1462"/>
      <c r="J167" s="1462"/>
      <c r="K167" s="1462"/>
      <c r="L167" s="1462"/>
      <c r="M167" s="1462"/>
      <c r="N167" s="1462"/>
      <c r="O167" s="1462"/>
      <c r="P167" s="1463"/>
      <c r="T167" s="28" t="s">
        <v>103</v>
      </c>
      <c r="U167" s="450">
        <f t="shared" si="179"/>
        <v>0</v>
      </c>
      <c r="V167" s="439">
        <f t="shared" si="180"/>
        <v>0</v>
      </c>
      <c r="W167" s="437">
        <f t="shared" si="181"/>
        <v>0</v>
      </c>
      <c r="X167" s="438">
        <f t="shared" si="182"/>
        <v>0</v>
      </c>
      <c r="Y167" s="438">
        <f t="shared" si="183"/>
        <v>0</v>
      </c>
      <c r="Z167" s="438">
        <f t="shared" si="184"/>
        <v>0</v>
      </c>
      <c r="AA167" s="438">
        <f t="shared" si="185"/>
        <v>0</v>
      </c>
      <c r="AB167" s="438">
        <f t="shared" si="186"/>
        <v>0</v>
      </c>
      <c r="AC167" s="438">
        <f t="shared" si="187"/>
        <v>0</v>
      </c>
      <c r="AD167" s="438">
        <f t="shared" si="188"/>
        <v>0</v>
      </c>
      <c r="AE167" s="438">
        <f t="shared" si="189"/>
        <v>0</v>
      </c>
      <c r="AF167" s="438">
        <f t="shared" si="190"/>
        <v>0</v>
      </c>
      <c r="AG167" s="438">
        <f t="shared" si="191"/>
        <v>0</v>
      </c>
      <c r="AH167" s="439">
        <f t="shared" si="192"/>
        <v>0</v>
      </c>
    </row>
    <row r="168" spans="2:34" x14ac:dyDescent="0.2">
      <c r="B168" s="57" t="s">
        <v>104</v>
      </c>
      <c r="C168" s="450">
        <f t="shared" si="178"/>
        <v>0</v>
      </c>
      <c r="D168" s="439">
        <f>IF(C157=0,0,SUM(E168:P168))</f>
        <v>0</v>
      </c>
      <c r="E168" s="1461"/>
      <c r="F168" s="1462"/>
      <c r="G168" s="1462"/>
      <c r="H168" s="1462"/>
      <c r="I168" s="1462"/>
      <c r="J168" s="1462"/>
      <c r="K168" s="1462"/>
      <c r="L168" s="1462"/>
      <c r="M168" s="1462"/>
      <c r="N168" s="1462"/>
      <c r="O168" s="1462"/>
      <c r="P168" s="1463"/>
      <c r="T168" s="28" t="s">
        <v>104</v>
      </c>
      <c r="U168" s="450">
        <f t="shared" si="179"/>
        <v>0</v>
      </c>
      <c r="V168" s="439">
        <f t="shared" si="180"/>
        <v>0</v>
      </c>
      <c r="W168" s="437">
        <f t="shared" si="181"/>
        <v>0</v>
      </c>
      <c r="X168" s="438">
        <f t="shared" si="182"/>
        <v>0</v>
      </c>
      <c r="Y168" s="438">
        <f t="shared" si="183"/>
        <v>0</v>
      </c>
      <c r="Z168" s="438">
        <f t="shared" si="184"/>
        <v>0</v>
      </c>
      <c r="AA168" s="438">
        <f t="shared" si="185"/>
        <v>0</v>
      </c>
      <c r="AB168" s="438">
        <f t="shared" si="186"/>
        <v>0</v>
      </c>
      <c r="AC168" s="438">
        <f t="shared" si="187"/>
        <v>0</v>
      </c>
      <c r="AD168" s="438">
        <f t="shared" si="188"/>
        <v>0</v>
      </c>
      <c r="AE168" s="438">
        <f t="shared" si="189"/>
        <v>0</v>
      </c>
      <c r="AF168" s="438">
        <f t="shared" si="190"/>
        <v>0</v>
      </c>
      <c r="AG168" s="438">
        <f t="shared" si="191"/>
        <v>0</v>
      </c>
      <c r="AH168" s="439">
        <f t="shared" si="192"/>
        <v>0</v>
      </c>
    </row>
    <row r="169" spans="2:34" x14ac:dyDescent="0.2">
      <c r="B169" s="57" t="s">
        <v>105</v>
      </c>
      <c r="C169" s="450">
        <f t="shared" si="178"/>
        <v>0</v>
      </c>
      <c r="D169" s="439">
        <f>IF(C157=0,0,SUM(E169:P169))</f>
        <v>0</v>
      </c>
      <c r="E169" s="1461"/>
      <c r="F169" s="1462"/>
      <c r="G169" s="1462"/>
      <c r="H169" s="1462"/>
      <c r="I169" s="1462"/>
      <c r="J169" s="1462"/>
      <c r="K169" s="1462"/>
      <c r="L169" s="1462"/>
      <c r="M169" s="1462"/>
      <c r="N169" s="1462"/>
      <c r="O169" s="1462"/>
      <c r="P169" s="1463"/>
      <c r="T169" s="28" t="s">
        <v>105</v>
      </c>
      <c r="U169" s="450">
        <f t="shared" si="179"/>
        <v>0</v>
      </c>
      <c r="V169" s="439">
        <f t="shared" si="180"/>
        <v>0</v>
      </c>
      <c r="W169" s="437">
        <f t="shared" si="181"/>
        <v>0</v>
      </c>
      <c r="X169" s="438">
        <f t="shared" si="182"/>
        <v>0</v>
      </c>
      <c r="Y169" s="438">
        <f t="shared" si="183"/>
        <v>0</v>
      </c>
      <c r="Z169" s="438">
        <f t="shared" si="184"/>
        <v>0</v>
      </c>
      <c r="AA169" s="438">
        <f t="shared" si="185"/>
        <v>0</v>
      </c>
      <c r="AB169" s="438">
        <f t="shared" si="186"/>
        <v>0</v>
      </c>
      <c r="AC169" s="438">
        <f t="shared" si="187"/>
        <v>0</v>
      </c>
      <c r="AD169" s="438">
        <f t="shared" si="188"/>
        <v>0</v>
      </c>
      <c r="AE169" s="438">
        <f t="shared" si="189"/>
        <v>0</v>
      </c>
      <c r="AF169" s="438">
        <f t="shared" si="190"/>
        <v>0</v>
      </c>
      <c r="AG169" s="438">
        <f t="shared" si="191"/>
        <v>0</v>
      </c>
      <c r="AH169" s="439">
        <f t="shared" si="192"/>
        <v>0</v>
      </c>
    </row>
    <row r="170" spans="2:34" x14ac:dyDescent="0.2">
      <c r="B170" s="57" t="s">
        <v>106</v>
      </c>
      <c r="C170" s="450">
        <f t="shared" si="178"/>
        <v>0</v>
      </c>
      <c r="D170" s="439">
        <f>IF(C157=0,0,SUM(E170:P170))</f>
        <v>0</v>
      </c>
      <c r="E170" s="1461"/>
      <c r="F170" s="1462"/>
      <c r="G170" s="1462"/>
      <c r="H170" s="1462"/>
      <c r="I170" s="1462"/>
      <c r="J170" s="1462"/>
      <c r="K170" s="1462"/>
      <c r="L170" s="1462"/>
      <c r="M170" s="1462"/>
      <c r="N170" s="1462"/>
      <c r="O170" s="1462"/>
      <c r="P170" s="1463"/>
      <c r="T170" s="28" t="s">
        <v>106</v>
      </c>
      <c r="U170" s="450">
        <f t="shared" si="179"/>
        <v>0</v>
      </c>
      <c r="V170" s="439">
        <f t="shared" si="180"/>
        <v>0</v>
      </c>
      <c r="W170" s="437">
        <f t="shared" si="181"/>
        <v>0</v>
      </c>
      <c r="X170" s="438">
        <f t="shared" si="182"/>
        <v>0</v>
      </c>
      <c r="Y170" s="438">
        <f t="shared" si="183"/>
        <v>0</v>
      </c>
      <c r="Z170" s="438">
        <f t="shared" si="184"/>
        <v>0</v>
      </c>
      <c r="AA170" s="438">
        <f t="shared" si="185"/>
        <v>0</v>
      </c>
      <c r="AB170" s="438">
        <f t="shared" si="186"/>
        <v>0</v>
      </c>
      <c r="AC170" s="438">
        <f t="shared" si="187"/>
        <v>0</v>
      </c>
      <c r="AD170" s="438">
        <f t="shared" si="188"/>
        <v>0</v>
      </c>
      <c r="AE170" s="438">
        <f t="shared" si="189"/>
        <v>0</v>
      </c>
      <c r="AF170" s="438">
        <f t="shared" si="190"/>
        <v>0</v>
      </c>
      <c r="AG170" s="438">
        <f t="shared" si="191"/>
        <v>0</v>
      </c>
      <c r="AH170" s="439">
        <f t="shared" si="192"/>
        <v>0</v>
      </c>
    </row>
    <row r="171" spans="2:34" x14ac:dyDescent="0.2">
      <c r="B171" s="57" t="s">
        <v>37</v>
      </c>
      <c r="C171" s="450">
        <f t="shared" si="178"/>
        <v>0</v>
      </c>
      <c r="D171" s="439">
        <f>IF(C157=0,0,SUM(E171:P171))</f>
        <v>0</v>
      </c>
      <c r="E171" s="1461"/>
      <c r="F171" s="1462"/>
      <c r="G171" s="1462"/>
      <c r="H171" s="1462"/>
      <c r="I171" s="1462"/>
      <c r="J171" s="1462"/>
      <c r="K171" s="1462"/>
      <c r="L171" s="1462"/>
      <c r="M171" s="1462"/>
      <c r="N171" s="1462"/>
      <c r="O171" s="1462"/>
      <c r="P171" s="1463"/>
      <c r="T171" s="28" t="s">
        <v>37</v>
      </c>
      <c r="U171" s="450">
        <f t="shared" si="179"/>
        <v>0</v>
      </c>
      <c r="V171" s="439">
        <f t="shared" si="180"/>
        <v>0</v>
      </c>
      <c r="W171" s="437">
        <f t="shared" si="181"/>
        <v>0</v>
      </c>
      <c r="X171" s="438">
        <f t="shared" si="182"/>
        <v>0</v>
      </c>
      <c r="Y171" s="438">
        <f t="shared" si="183"/>
        <v>0</v>
      </c>
      <c r="Z171" s="438">
        <f t="shared" si="184"/>
        <v>0</v>
      </c>
      <c r="AA171" s="438">
        <f t="shared" si="185"/>
        <v>0</v>
      </c>
      <c r="AB171" s="438">
        <f t="shared" si="186"/>
        <v>0</v>
      </c>
      <c r="AC171" s="438">
        <f t="shared" si="187"/>
        <v>0</v>
      </c>
      <c r="AD171" s="438">
        <f t="shared" si="188"/>
        <v>0</v>
      </c>
      <c r="AE171" s="438">
        <f t="shared" si="189"/>
        <v>0</v>
      </c>
      <c r="AF171" s="438">
        <f t="shared" si="190"/>
        <v>0</v>
      </c>
      <c r="AG171" s="438">
        <f t="shared" si="191"/>
        <v>0</v>
      </c>
      <c r="AH171" s="439">
        <f t="shared" si="192"/>
        <v>0</v>
      </c>
    </row>
    <row r="172" spans="2:34" x14ac:dyDescent="0.2">
      <c r="B172" s="57" t="s">
        <v>36</v>
      </c>
      <c r="C172" s="450">
        <f t="shared" si="178"/>
        <v>0</v>
      </c>
      <c r="D172" s="439">
        <f>IF(C157=0,0,SUM(E172:P172))</f>
        <v>0</v>
      </c>
      <c r="E172" s="1464"/>
      <c r="F172" s="1465"/>
      <c r="G172" s="1465"/>
      <c r="H172" s="1465"/>
      <c r="I172" s="1465"/>
      <c r="J172" s="1465"/>
      <c r="K172" s="1465"/>
      <c r="L172" s="1465"/>
      <c r="M172" s="1465"/>
      <c r="N172" s="1465"/>
      <c r="O172" s="1465"/>
      <c r="P172" s="1466"/>
      <c r="T172" s="28" t="s">
        <v>36</v>
      </c>
      <c r="U172" s="450">
        <f t="shared" si="179"/>
        <v>0</v>
      </c>
      <c r="V172" s="439">
        <f t="shared" si="180"/>
        <v>0</v>
      </c>
      <c r="W172" s="437">
        <f t="shared" si="181"/>
        <v>0</v>
      </c>
      <c r="X172" s="438">
        <f t="shared" si="182"/>
        <v>0</v>
      </c>
      <c r="Y172" s="438">
        <f t="shared" si="183"/>
        <v>0</v>
      </c>
      <c r="Z172" s="438">
        <f t="shared" si="184"/>
        <v>0</v>
      </c>
      <c r="AA172" s="438">
        <f t="shared" si="185"/>
        <v>0</v>
      </c>
      <c r="AB172" s="438">
        <f t="shared" si="186"/>
        <v>0</v>
      </c>
      <c r="AC172" s="438">
        <f t="shared" si="187"/>
        <v>0</v>
      </c>
      <c r="AD172" s="438">
        <f t="shared" si="188"/>
        <v>0</v>
      </c>
      <c r="AE172" s="438">
        <f t="shared" si="189"/>
        <v>0</v>
      </c>
      <c r="AF172" s="438">
        <f t="shared" si="190"/>
        <v>0</v>
      </c>
      <c r="AG172" s="438">
        <f t="shared" si="191"/>
        <v>0</v>
      </c>
      <c r="AH172" s="439">
        <f t="shared" si="192"/>
        <v>0</v>
      </c>
    </row>
    <row r="173" spans="2:34" x14ac:dyDescent="0.2">
      <c r="B173" s="57" t="s">
        <v>94</v>
      </c>
      <c r="C173" s="450">
        <f t="shared" si="178"/>
        <v>0</v>
      </c>
      <c r="D173" s="486">
        <f>IF(C157=0,0,SUM(E173:P173))</f>
        <v>0</v>
      </c>
      <c r="E173" s="1464"/>
      <c r="F173" s="1465"/>
      <c r="G173" s="1465"/>
      <c r="H173" s="1465"/>
      <c r="I173" s="1465"/>
      <c r="J173" s="1465"/>
      <c r="K173" s="1465"/>
      <c r="L173" s="1465"/>
      <c r="M173" s="1465"/>
      <c r="N173" s="1465"/>
      <c r="O173" s="1465"/>
      <c r="P173" s="1466"/>
      <c r="T173" s="28" t="s">
        <v>94</v>
      </c>
      <c r="U173" s="450">
        <f t="shared" si="179"/>
        <v>0</v>
      </c>
      <c r="V173" s="486">
        <f t="shared" si="180"/>
        <v>0</v>
      </c>
      <c r="W173" s="437">
        <f t="shared" si="181"/>
        <v>0</v>
      </c>
      <c r="X173" s="438">
        <f t="shared" si="182"/>
        <v>0</v>
      </c>
      <c r="Y173" s="438">
        <f t="shared" si="183"/>
        <v>0</v>
      </c>
      <c r="Z173" s="438">
        <f t="shared" si="184"/>
        <v>0</v>
      </c>
      <c r="AA173" s="438">
        <f t="shared" si="185"/>
        <v>0</v>
      </c>
      <c r="AB173" s="438">
        <f t="shared" si="186"/>
        <v>0</v>
      </c>
      <c r="AC173" s="438">
        <f t="shared" si="187"/>
        <v>0</v>
      </c>
      <c r="AD173" s="438">
        <f t="shared" si="188"/>
        <v>0</v>
      </c>
      <c r="AE173" s="438">
        <f t="shared" si="189"/>
        <v>0</v>
      </c>
      <c r="AF173" s="438">
        <f t="shared" si="190"/>
        <v>0</v>
      </c>
      <c r="AG173" s="438">
        <f t="shared" si="191"/>
        <v>0</v>
      </c>
      <c r="AH173" s="439">
        <f t="shared" si="192"/>
        <v>0</v>
      </c>
    </row>
    <row r="174" spans="2:34" ht="13.5" thickBot="1" x14ac:dyDescent="0.25">
      <c r="B174" s="40" t="s">
        <v>93</v>
      </c>
      <c r="C174" s="498">
        <f t="shared" si="178"/>
        <v>0</v>
      </c>
      <c r="D174" s="512">
        <f>IF(C157=0,0,SUM(E174:P174))</f>
        <v>0</v>
      </c>
      <c r="E174" s="1464"/>
      <c r="F174" s="1465"/>
      <c r="G174" s="1465"/>
      <c r="H174" s="1465"/>
      <c r="I174" s="1465"/>
      <c r="J174" s="1465"/>
      <c r="K174" s="1465"/>
      <c r="L174" s="1465"/>
      <c r="M174" s="1465"/>
      <c r="N174" s="1465"/>
      <c r="O174" s="1465"/>
      <c r="P174" s="1466"/>
      <c r="T174" s="28" t="s">
        <v>93</v>
      </c>
      <c r="U174" s="498">
        <f t="shared" si="179"/>
        <v>0</v>
      </c>
      <c r="V174" s="512">
        <f t="shared" si="180"/>
        <v>0</v>
      </c>
      <c r="W174" s="484">
        <f t="shared" si="181"/>
        <v>0</v>
      </c>
      <c r="X174" s="485">
        <f t="shared" si="182"/>
        <v>0</v>
      </c>
      <c r="Y174" s="485">
        <f t="shared" si="183"/>
        <v>0</v>
      </c>
      <c r="Z174" s="485">
        <f t="shared" si="184"/>
        <v>0</v>
      </c>
      <c r="AA174" s="485">
        <f t="shared" si="185"/>
        <v>0</v>
      </c>
      <c r="AB174" s="485">
        <f t="shared" si="186"/>
        <v>0</v>
      </c>
      <c r="AC174" s="485">
        <f t="shared" si="187"/>
        <v>0</v>
      </c>
      <c r="AD174" s="485">
        <f t="shared" si="188"/>
        <v>0</v>
      </c>
      <c r="AE174" s="485">
        <f t="shared" si="189"/>
        <v>0</v>
      </c>
      <c r="AF174" s="485">
        <f t="shared" si="190"/>
        <v>0</v>
      </c>
      <c r="AG174" s="485">
        <f t="shared" si="191"/>
        <v>0</v>
      </c>
      <c r="AH174" s="486">
        <f t="shared" si="192"/>
        <v>0</v>
      </c>
    </row>
    <row r="175" spans="2:34" ht="13.5" thickBot="1" x14ac:dyDescent="0.25">
      <c r="B175" s="54" t="s">
        <v>107</v>
      </c>
      <c r="C175" s="416">
        <f t="shared" si="178"/>
        <v>0</v>
      </c>
      <c r="D175" s="423">
        <f>IF(C157=0,0,SUM(E175:P175))</f>
        <v>0</v>
      </c>
      <c r="E175" s="461">
        <f t="shared" ref="E175:K175" si="193">SUM(E163:E174)</f>
        <v>0</v>
      </c>
      <c r="F175" s="453">
        <f t="shared" si="193"/>
        <v>0</v>
      </c>
      <c r="G175" s="453">
        <f t="shared" si="193"/>
        <v>0</v>
      </c>
      <c r="H175" s="453">
        <f t="shared" si="193"/>
        <v>0</v>
      </c>
      <c r="I175" s="453">
        <f t="shared" si="193"/>
        <v>0</v>
      </c>
      <c r="J175" s="453">
        <f t="shared" si="193"/>
        <v>0</v>
      </c>
      <c r="K175" s="453">
        <f t="shared" si="193"/>
        <v>0</v>
      </c>
      <c r="L175" s="453">
        <f>SUM(L163:L174)</f>
        <v>0</v>
      </c>
      <c r="M175" s="453">
        <f>SUM(M163:M174)</f>
        <v>0</v>
      </c>
      <c r="N175" s="453">
        <f>SUM(N163:N174)</f>
        <v>0</v>
      </c>
      <c r="O175" s="453">
        <f>SUM(O163:O174)</f>
        <v>0</v>
      </c>
      <c r="P175" s="454">
        <f>SUM(P163:P174)</f>
        <v>0</v>
      </c>
      <c r="T175" s="30" t="s">
        <v>107</v>
      </c>
      <c r="U175" s="416">
        <f t="shared" si="179"/>
        <v>0</v>
      </c>
      <c r="V175" s="423">
        <f t="shared" si="180"/>
        <v>0</v>
      </c>
      <c r="W175" s="461">
        <f t="shared" si="181"/>
        <v>0</v>
      </c>
      <c r="X175" s="453">
        <f t="shared" si="182"/>
        <v>0</v>
      </c>
      <c r="Y175" s="453">
        <f t="shared" si="183"/>
        <v>0</v>
      </c>
      <c r="Z175" s="453">
        <f t="shared" si="184"/>
        <v>0</v>
      </c>
      <c r="AA175" s="453">
        <f t="shared" si="185"/>
        <v>0</v>
      </c>
      <c r="AB175" s="453">
        <f t="shared" si="186"/>
        <v>0</v>
      </c>
      <c r="AC175" s="453">
        <f t="shared" si="187"/>
        <v>0</v>
      </c>
      <c r="AD175" s="453">
        <f t="shared" si="188"/>
        <v>0</v>
      </c>
      <c r="AE175" s="453">
        <f t="shared" si="189"/>
        <v>0</v>
      </c>
      <c r="AF175" s="453">
        <f t="shared" si="190"/>
        <v>0</v>
      </c>
      <c r="AG175" s="453">
        <f t="shared" si="191"/>
        <v>0</v>
      </c>
      <c r="AH175" s="454">
        <f t="shared" si="192"/>
        <v>0</v>
      </c>
    </row>
    <row r="176" spans="2:34" ht="24" customHeight="1" thickBot="1" x14ac:dyDescent="0.25"/>
    <row r="177" spans="2:34" ht="20.25" customHeight="1" thickBot="1" x14ac:dyDescent="0.4">
      <c r="B177" s="735" t="str">
        <f>'2.1 Verkkopyynti'!Y62</f>
        <v>Verkko2</v>
      </c>
      <c r="C177" s="736"/>
      <c r="D177" s="736" t="str">
        <f>'2.1 Verkkopyynti'!Z62</f>
        <v>syksy</v>
      </c>
      <c r="E177" s="736"/>
      <c r="F177" s="736"/>
      <c r="G177" s="736"/>
      <c r="H177" s="736"/>
      <c r="I177" s="739"/>
      <c r="T177" s="735" t="str">
        <f>'2.2 Rysäpyynti'!K105</f>
        <v>PU-rysä2</v>
      </c>
      <c r="U177" s="736"/>
      <c r="V177" s="736" t="s">
        <v>107</v>
      </c>
      <c r="W177" s="377"/>
      <c r="X177" s="377"/>
      <c r="Y177" s="377"/>
      <c r="Z177" s="377"/>
      <c r="AA177" s="734"/>
    </row>
    <row r="178" spans="2:34" ht="24" thickBot="1" x14ac:dyDescent="0.4">
      <c r="B178" s="39"/>
      <c r="C178" s="39"/>
      <c r="D178" s="43"/>
      <c r="T178" s="39"/>
      <c r="U178" s="39"/>
      <c r="V178" s="43"/>
    </row>
    <row r="179" spans="2:34" ht="24" thickBot="1" x14ac:dyDescent="0.4">
      <c r="B179" s="30" t="s">
        <v>39</v>
      </c>
      <c r="C179" s="446">
        <f>'2.1 Verkkopyynti'!AB64</f>
        <v>0</v>
      </c>
      <c r="D179" s="8" t="s">
        <v>15</v>
      </c>
      <c r="E179" s="41"/>
      <c r="F179" s="42"/>
      <c r="G179" s="8" t="s">
        <v>5</v>
      </c>
      <c r="H179" s="10"/>
      <c r="I179" s="18"/>
      <c r="J179" s="18"/>
      <c r="K179" s="18"/>
      <c r="L179" s="10"/>
      <c r="T179" s="30" t="s">
        <v>39</v>
      </c>
      <c r="U179" s="455">
        <f>IF((F312+F290)=0,0,(C311*F312+C289*F290)/(F312+F290))</f>
        <v>0</v>
      </c>
      <c r="V179" s="8" t="s">
        <v>15</v>
      </c>
      <c r="W179" s="41"/>
      <c r="X179" s="42"/>
      <c r="Y179" s="8" t="s">
        <v>5</v>
      </c>
      <c r="Z179" s="10"/>
      <c r="AA179" s="18"/>
      <c r="AB179" s="18"/>
      <c r="AC179" s="18"/>
      <c r="AD179" s="10"/>
    </row>
    <row r="180" spans="2:34" ht="13.5" thickBot="1" x14ac:dyDescent="0.25">
      <c r="B180" s="30" t="s">
        <v>2</v>
      </c>
      <c r="C180" s="1134" t="str">
        <f>IF(C179=0,"0",'2.1 Verkkopyynti'!Z67)</f>
        <v>0</v>
      </c>
      <c r="D180" s="8" t="s">
        <v>4</v>
      </c>
      <c r="E180" s="10"/>
      <c r="F180" s="455">
        <f>'2.1 Verkkopyynti'!AB68</f>
        <v>0</v>
      </c>
      <c r="G180" s="8" t="s">
        <v>6</v>
      </c>
      <c r="H180" s="18"/>
      <c r="I180" s="41"/>
      <c r="J180" s="18"/>
      <c r="K180" s="10"/>
      <c r="L180" s="446">
        <f>IF(C179=0,0,'2.1 Verkkopyynti'!Z71)</f>
        <v>0</v>
      </c>
      <c r="T180" s="30" t="s">
        <v>2</v>
      </c>
      <c r="U180" s="1134" t="str">
        <f>IF(U179=0,"0",MIN(C290,C312))</f>
        <v>0</v>
      </c>
      <c r="V180" s="8" t="s">
        <v>4</v>
      </c>
      <c r="W180" s="10"/>
      <c r="X180" s="455">
        <f>F290+F312</f>
        <v>0</v>
      </c>
      <c r="Y180" s="8" t="s">
        <v>6</v>
      </c>
      <c r="Z180" s="18"/>
      <c r="AA180" s="41"/>
      <c r="AB180" s="18"/>
      <c r="AC180" s="10"/>
      <c r="AD180" s="456">
        <f>IF(U179=0,0,AD181/(X180/7))</f>
        <v>0</v>
      </c>
    </row>
    <row r="181" spans="2:34" ht="13.5" thickBot="1" x14ac:dyDescent="0.25">
      <c r="B181" s="30" t="s">
        <v>3</v>
      </c>
      <c r="C181" s="1134" t="str">
        <f>IF(C179=0,"0",'2.1 Verkkopyynti'!Z68)</f>
        <v>0</v>
      </c>
      <c r="D181" s="8" t="s">
        <v>38</v>
      </c>
      <c r="E181" s="10"/>
      <c r="F181" s="456">
        <f>F180/30</f>
        <v>0</v>
      </c>
      <c r="G181" s="40" t="s">
        <v>26</v>
      </c>
      <c r="H181" s="14"/>
      <c r="I181" s="14"/>
      <c r="J181" s="14"/>
      <c r="K181" s="17"/>
      <c r="L181" s="457">
        <f>'2.1 Verkkopyynti'!Z72</f>
        <v>0</v>
      </c>
      <c r="T181" s="30" t="s">
        <v>3</v>
      </c>
      <c r="U181" s="1134" t="str">
        <f>IF(U179=0,"0",MAX(C291,C313))</f>
        <v>0</v>
      </c>
      <c r="V181" s="8" t="s">
        <v>38</v>
      </c>
      <c r="W181" s="10"/>
      <c r="X181" s="456">
        <f>X180/30</f>
        <v>0</v>
      </c>
      <c r="Y181" s="40" t="s">
        <v>26</v>
      </c>
      <c r="Z181" s="14"/>
      <c r="AA181" s="14"/>
      <c r="AB181" s="14"/>
      <c r="AC181" s="17"/>
      <c r="AD181" s="457">
        <f>L291+L313</f>
        <v>0</v>
      </c>
    </row>
    <row r="182" spans="2:34" ht="13.5" thickBot="1" x14ac:dyDescent="0.25">
      <c r="T182" s="34"/>
      <c r="U182" s="34"/>
      <c r="V182" s="45"/>
      <c r="W182" s="34"/>
      <c r="Y182" s="46"/>
      <c r="Z182" s="34"/>
      <c r="AE182" s="34"/>
    </row>
    <row r="183" spans="2:34" ht="13.5" thickBot="1" x14ac:dyDescent="0.25">
      <c r="B183" s="5" t="s">
        <v>73</v>
      </c>
      <c r="C183" s="51" t="s">
        <v>46</v>
      </c>
      <c r="D183" s="52" t="s">
        <v>40</v>
      </c>
      <c r="E183" s="47"/>
      <c r="F183" s="48"/>
      <c r="G183" s="48"/>
      <c r="H183" s="48"/>
      <c r="I183" s="48"/>
      <c r="J183" s="41" t="s">
        <v>42</v>
      </c>
      <c r="K183" s="48"/>
      <c r="L183" s="48"/>
      <c r="M183" s="48"/>
      <c r="N183" s="48"/>
      <c r="O183" s="48"/>
      <c r="P183" s="49"/>
      <c r="T183" s="5" t="s">
        <v>73</v>
      </c>
      <c r="U183" s="51" t="s">
        <v>46</v>
      </c>
      <c r="V183" s="52" t="s">
        <v>40</v>
      </c>
      <c r="W183" s="47"/>
      <c r="X183" s="48"/>
      <c r="Y183" s="48"/>
      <c r="Z183" s="48"/>
      <c r="AA183" s="48"/>
      <c r="AB183" s="41" t="s">
        <v>42</v>
      </c>
      <c r="AC183" s="48"/>
      <c r="AD183" s="48"/>
      <c r="AE183" s="48"/>
      <c r="AF183" s="48"/>
      <c r="AG183" s="48"/>
      <c r="AH183" s="49"/>
    </row>
    <row r="184" spans="2:34" ht="13.5" thickBot="1" x14ac:dyDescent="0.25">
      <c r="B184" s="28"/>
      <c r="C184" s="69" t="s">
        <v>47</v>
      </c>
      <c r="D184" s="55" t="s">
        <v>41</v>
      </c>
      <c r="E184" s="78">
        <v>1</v>
      </c>
      <c r="F184" s="70">
        <v>2</v>
      </c>
      <c r="G184" s="70">
        <v>3</v>
      </c>
      <c r="H184" s="70">
        <v>4</v>
      </c>
      <c r="I184" s="70">
        <v>5</v>
      </c>
      <c r="J184" s="70">
        <v>6</v>
      </c>
      <c r="K184" s="70">
        <v>7</v>
      </c>
      <c r="L184" s="70">
        <v>8</v>
      </c>
      <c r="M184" s="70">
        <v>9</v>
      </c>
      <c r="N184" s="70">
        <v>10</v>
      </c>
      <c r="O184" s="70">
        <v>11</v>
      </c>
      <c r="P184" s="71">
        <v>12</v>
      </c>
      <c r="T184" s="54"/>
      <c r="U184" s="69" t="s">
        <v>47</v>
      </c>
      <c r="V184" s="53" t="s">
        <v>41</v>
      </c>
      <c r="W184" s="80">
        <v>1</v>
      </c>
      <c r="X184" s="33">
        <v>2</v>
      </c>
      <c r="Y184" s="33">
        <v>3</v>
      </c>
      <c r="Z184" s="33">
        <v>4</v>
      </c>
      <c r="AA184" s="33">
        <v>5</v>
      </c>
      <c r="AB184" s="33">
        <v>6</v>
      </c>
      <c r="AC184" s="33">
        <v>7</v>
      </c>
      <c r="AD184" s="33">
        <v>8</v>
      </c>
      <c r="AE184" s="33">
        <v>9</v>
      </c>
      <c r="AF184" s="33">
        <v>10</v>
      </c>
      <c r="AG184" s="33">
        <v>11</v>
      </c>
      <c r="AH184" s="79">
        <v>12</v>
      </c>
    </row>
    <row r="185" spans="2:34" x14ac:dyDescent="0.2">
      <c r="B185" s="5" t="s">
        <v>100</v>
      </c>
      <c r="C185" s="544">
        <f t="shared" ref="C185:C197" si="194">IF(D185=0,0,D185/$L$181)</f>
        <v>0</v>
      </c>
      <c r="D185" s="449">
        <f>IF(C179=0,0,SUM(E185:P185))</f>
        <v>0</v>
      </c>
      <c r="E185" s="1455"/>
      <c r="F185" s="1456"/>
      <c r="G185" s="1456"/>
      <c r="H185" s="1456"/>
      <c r="I185" s="1456"/>
      <c r="J185" s="1456"/>
      <c r="K185" s="1456"/>
      <c r="L185" s="1456"/>
      <c r="M185" s="1456"/>
      <c r="N185" s="1456"/>
      <c r="O185" s="1456"/>
      <c r="P185" s="1457"/>
      <c r="T185" s="44" t="s">
        <v>100</v>
      </c>
      <c r="U185" s="544">
        <f t="shared" ref="U185:U197" si="195">IF(V185=0,0,V185/$AD$181)</f>
        <v>0</v>
      </c>
      <c r="V185" s="449">
        <f t="shared" ref="V185:V197" si="196">D295+D317</f>
        <v>0</v>
      </c>
      <c r="W185" s="740">
        <f t="shared" ref="W185:W197" si="197">E295+E317</f>
        <v>0</v>
      </c>
      <c r="X185" s="741">
        <f t="shared" ref="X185:X197" si="198">F295+F317</f>
        <v>0</v>
      </c>
      <c r="Y185" s="438">
        <f t="shared" ref="Y185:Y197" si="199">G295+G317</f>
        <v>0</v>
      </c>
      <c r="Z185" s="438">
        <f t="shared" ref="Z185:Z197" si="200">H295+H317</f>
        <v>0</v>
      </c>
      <c r="AA185" s="438">
        <f t="shared" ref="AA185:AA197" si="201">I295+I317</f>
        <v>0</v>
      </c>
      <c r="AB185" s="438">
        <f t="shared" ref="AB185:AB197" si="202">J295+J317</f>
        <v>0</v>
      </c>
      <c r="AC185" s="438">
        <f t="shared" ref="AC185:AC197" si="203">K295+K317</f>
        <v>0</v>
      </c>
      <c r="AD185" s="438">
        <f t="shared" ref="AD185:AD197" si="204">L295+L317</f>
        <v>0</v>
      </c>
      <c r="AE185" s="438">
        <f t="shared" ref="AE185:AE197" si="205">M295+M317</f>
        <v>0</v>
      </c>
      <c r="AF185" s="438">
        <f t="shared" ref="AF185:AF197" si="206">N295+N317</f>
        <v>0</v>
      </c>
      <c r="AG185" s="438">
        <f t="shared" ref="AG185:AG197" si="207">O295+O317</f>
        <v>0</v>
      </c>
      <c r="AH185" s="439">
        <f t="shared" ref="AH185:AH197" si="208">P295+P317</f>
        <v>0</v>
      </c>
    </row>
    <row r="186" spans="2:34" x14ac:dyDescent="0.2">
      <c r="B186" s="57" t="s">
        <v>108</v>
      </c>
      <c r="C186" s="501">
        <f t="shared" si="194"/>
        <v>0</v>
      </c>
      <c r="D186" s="450">
        <f>IF(C179=0,0,SUM(E186:P186))</f>
        <v>0</v>
      </c>
      <c r="E186" s="1458"/>
      <c r="F186" s="1459"/>
      <c r="G186" s="1459"/>
      <c r="H186" s="1459"/>
      <c r="I186" s="1459"/>
      <c r="J186" s="1459"/>
      <c r="K186" s="1459"/>
      <c r="L186" s="1459"/>
      <c r="M186" s="1459"/>
      <c r="N186" s="1459"/>
      <c r="O186" s="1459"/>
      <c r="P186" s="1460"/>
      <c r="T186" s="28" t="s">
        <v>108</v>
      </c>
      <c r="U186" s="501">
        <f t="shared" si="195"/>
        <v>0</v>
      </c>
      <c r="V186" s="450">
        <f>D296+D318</f>
        <v>0</v>
      </c>
      <c r="W186" s="437">
        <f t="shared" si="197"/>
        <v>0</v>
      </c>
      <c r="X186" s="438">
        <f t="shared" si="198"/>
        <v>0</v>
      </c>
      <c r="Y186" s="438">
        <f t="shared" si="199"/>
        <v>0</v>
      </c>
      <c r="Z186" s="438">
        <f t="shared" si="200"/>
        <v>0</v>
      </c>
      <c r="AA186" s="438">
        <f t="shared" si="201"/>
        <v>0</v>
      </c>
      <c r="AB186" s="438">
        <f t="shared" si="202"/>
        <v>0</v>
      </c>
      <c r="AC186" s="438">
        <f t="shared" si="203"/>
        <v>0</v>
      </c>
      <c r="AD186" s="438">
        <f t="shared" si="204"/>
        <v>0</v>
      </c>
      <c r="AE186" s="438">
        <f t="shared" si="205"/>
        <v>0</v>
      </c>
      <c r="AF186" s="438">
        <f t="shared" si="206"/>
        <v>0</v>
      </c>
      <c r="AG186" s="438">
        <f t="shared" si="207"/>
        <v>0</v>
      </c>
      <c r="AH186" s="439">
        <f t="shared" si="208"/>
        <v>0</v>
      </c>
    </row>
    <row r="187" spans="2:34" x14ac:dyDescent="0.2">
      <c r="B187" s="57" t="s">
        <v>101</v>
      </c>
      <c r="C187" s="450">
        <f t="shared" si="194"/>
        <v>0</v>
      </c>
      <c r="D187" s="439">
        <f>IF(C179=0,0,SUM(E187:P187))</f>
        <v>0</v>
      </c>
      <c r="E187" s="1458"/>
      <c r="F187" s="1459"/>
      <c r="G187" s="1459"/>
      <c r="H187" s="1459"/>
      <c r="I187" s="1459"/>
      <c r="J187" s="1459"/>
      <c r="K187" s="1459"/>
      <c r="L187" s="1459"/>
      <c r="M187" s="1459"/>
      <c r="N187" s="1459"/>
      <c r="O187" s="1459"/>
      <c r="P187" s="1460"/>
      <c r="T187" s="28" t="s">
        <v>101</v>
      </c>
      <c r="U187" s="450">
        <f t="shared" si="195"/>
        <v>0</v>
      </c>
      <c r="V187" s="439">
        <f t="shared" si="196"/>
        <v>0</v>
      </c>
      <c r="W187" s="437">
        <f t="shared" si="197"/>
        <v>0</v>
      </c>
      <c r="X187" s="438">
        <f t="shared" si="198"/>
        <v>0</v>
      </c>
      <c r="Y187" s="438">
        <f t="shared" si="199"/>
        <v>0</v>
      </c>
      <c r="Z187" s="438">
        <f t="shared" si="200"/>
        <v>0</v>
      </c>
      <c r="AA187" s="438">
        <f t="shared" si="201"/>
        <v>0</v>
      </c>
      <c r="AB187" s="438">
        <f t="shared" si="202"/>
        <v>0</v>
      </c>
      <c r="AC187" s="438">
        <f t="shared" si="203"/>
        <v>0</v>
      </c>
      <c r="AD187" s="438">
        <f t="shared" si="204"/>
        <v>0</v>
      </c>
      <c r="AE187" s="438">
        <f t="shared" si="205"/>
        <v>0</v>
      </c>
      <c r="AF187" s="438">
        <f t="shared" si="206"/>
        <v>0</v>
      </c>
      <c r="AG187" s="438">
        <f t="shared" si="207"/>
        <v>0</v>
      </c>
      <c r="AH187" s="439">
        <f t="shared" si="208"/>
        <v>0</v>
      </c>
    </row>
    <row r="188" spans="2:34" x14ac:dyDescent="0.2">
      <c r="B188" s="57" t="s">
        <v>102</v>
      </c>
      <c r="C188" s="450">
        <f t="shared" si="194"/>
        <v>0</v>
      </c>
      <c r="D188" s="439">
        <f>IF(C179=0,0,SUM(E188:P188))</f>
        <v>0</v>
      </c>
      <c r="E188" s="1461"/>
      <c r="F188" s="1462"/>
      <c r="G188" s="1462"/>
      <c r="H188" s="1462"/>
      <c r="I188" s="1462"/>
      <c r="J188" s="1462"/>
      <c r="K188" s="1462"/>
      <c r="L188" s="1462"/>
      <c r="M188" s="1462"/>
      <c r="N188" s="1462"/>
      <c r="O188" s="1462"/>
      <c r="P188" s="1463"/>
      <c r="T188" s="28" t="s">
        <v>102</v>
      </c>
      <c r="U188" s="450">
        <f t="shared" si="195"/>
        <v>0</v>
      </c>
      <c r="V188" s="439">
        <f t="shared" si="196"/>
        <v>0</v>
      </c>
      <c r="W188" s="437">
        <f t="shared" si="197"/>
        <v>0</v>
      </c>
      <c r="X188" s="438">
        <f t="shared" si="198"/>
        <v>0</v>
      </c>
      <c r="Y188" s="438">
        <f t="shared" si="199"/>
        <v>0</v>
      </c>
      <c r="Z188" s="438">
        <f t="shared" si="200"/>
        <v>0</v>
      </c>
      <c r="AA188" s="438">
        <f t="shared" si="201"/>
        <v>0</v>
      </c>
      <c r="AB188" s="438">
        <f t="shared" si="202"/>
        <v>0</v>
      </c>
      <c r="AC188" s="438">
        <f t="shared" si="203"/>
        <v>0</v>
      </c>
      <c r="AD188" s="438">
        <f t="shared" si="204"/>
        <v>0</v>
      </c>
      <c r="AE188" s="438">
        <f t="shared" si="205"/>
        <v>0</v>
      </c>
      <c r="AF188" s="438">
        <f t="shared" si="206"/>
        <v>0</v>
      </c>
      <c r="AG188" s="438">
        <f t="shared" si="207"/>
        <v>0</v>
      </c>
      <c r="AH188" s="439">
        <f t="shared" si="208"/>
        <v>0</v>
      </c>
    </row>
    <row r="189" spans="2:34" x14ac:dyDescent="0.2">
      <c r="B189" s="57" t="s">
        <v>103</v>
      </c>
      <c r="C189" s="450">
        <f t="shared" si="194"/>
        <v>0</v>
      </c>
      <c r="D189" s="439">
        <f>IF(C179=0,0,SUM(E189:P189))</f>
        <v>0</v>
      </c>
      <c r="E189" s="1461"/>
      <c r="F189" s="1462"/>
      <c r="G189" s="1462"/>
      <c r="H189" s="1462"/>
      <c r="I189" s="1462"/>
      <c r="J189" s="1462"/>
      <c r="K189" s="1462"/>
      <c r="L189" s="1462"/>
      <c r="M189" s="1462"/>
      <c r="N189" s="1462"/>
      <c r="O189" s="1462"/>
      <c r="P189" s="1463"/>
      <c r="T189" s="28" t="s">
        <v>103</v>
      </c>
      <c r="U189" s="450">
        <f t="shared" si="195"/>
        <v>0</v>
      </c>
      <c r="V189" s="439">
        <f t="shared" si="196"/>
        <v>0</v>
      </c>
      <c r="W189" s="437">
        <f t="shared" si="197"/>
        <v>0</v>
      </c>
      <c r="X189" s="438">
        <f t="shared" si="198"/>
        <v>0</v>
      </c>
      <c r="Y189" s="438">
        <f t="shared" si="199"/>
        <v>0</v>
      </c>
      <c r="Z189" s="438">
        <f t="shared" si="200"/>
        <v>0</v>
      </c>
      <c r="AA189" s="438">
        <f t="shared" si="201"/>
        <v>0</v>
      </c>
      <c r="AB189" s="438">
        <f t="shared" si="202"/>
        <v>0</v>
      </c>
      <c r="AC189" s="438">
        <f t="shared" si="203"/>
        <v>0</v>
      </c>
      <c r="AD189" s="438">
        <f t="shared" si="204"/>
        <v>0</v>
      </c>
      <c r="AE189" s="438">
        <f t="shared" si="205"/>
        <v>0</v>
      </c>
      <c r="AF189" s="438">
        <f t="shared" si="206"/>
        <v>0</v>
      </c>
      <c r="AG189" s="438">
        <f t="shared" si="207"/>
        <v>0</v>
      </c>
      <c r="AH189" s="439">
        <f t="shared" si="208"/>
        <v>0</v>
      </c>
    </row>
    <row r="190" spans="2:34" x14ac:dyDescent="0.2">
      <c r="B190" s="57" t="s">
        <v>104</v>
      </c>
      <c r="C190" s="450">
        <f t="shared" si="194"/>
        <v>0</v>
      </c>
      <c r="D190" s="439">
        <f>IF(C179=0,0,SUM(E190:P190))</f>
        <v>0</v>
      </c>
      <c r="E190" s="1461"/>
      <c r="F190" s="1462"/>
      <c r="G190" s="1462"/>
      <c r="H190" s="1462"/>
      <c r="I190" s="1462"/>
      <c r="J190" s="1462"/>
      <c r="K190" s="1462"/>
      <c r="L190" s="1462"/>
      <c r="M190" s="1462"/>
      <c r="N190" s="1462"/>
      <c r="O190" s="1462"/>
      <c r="P190" s="1463"/>
      <c r="T190" s="28" t="s">
        <v>104</v>
      </c>
      <c r="U190" s="450">
        <f t="shared" si="195"/>
        <v>0</v>
      </c>
      <c r="V190" s="439">
        <f t="shared" si="196"/>
        <v>0</v>
      </c>
      <c r="W190" s="437">
        <f t="shared" si="197"/>
        <v>0</v>
      </c>
      <c r="X190" s="438">
        <f t="shared" si="198"/>
        <v>0</v>
      </c>
      <c r="Y190" s="438">
        <f t="shared" si="199"/>
        <v>0</v>
      </c>
      <c r="Z190" s="438">
        <f t="shared" si="200"/>
        <v>0</v>
      </c>
      <c r="AA190" s="438">
        <f t="shared" si="201"/>
        <v>0</v>
      </c>
      <c r="AB190" s="438">
        <f t="shared" si="202"/>
        <v>0</v>
      </c>
      <c r="AC190" s="438">
        <f t="shared" si="203"/>
        <v>0</v>
      </c>
      <c r="AD190" s="438">
        <f t="shared" si="204"/>
        <v>0</v>
      </c>
      <c r="AE190" s="438">
        <f t="shared" si="205"/>
        <v>0</v>
      </c>
      <c r="AF190" s="438">
        <f t="shared" si="206"/>
        <v>0</v>
      </c>
      <c r="AG190" s="438">
        <f t="shared" si="207"/>
        <v>0</v>
      </c>
      <c r="AH190" s="439">
        <f t="shared" si="208"/>
        <v>0</v>
      </c>
    </row>
    <row r="191" spans="2:34" x14ac:dyDescent="0.2">
      <c r="B191" s="57" t="s">
        <v>105</v>
      </c>
      <c r="C191" s="450">
        <f t="shared" si="194"/>
        <v>0</v>
      </c>
      <c r="D191" s="439">
        <f>IF(C179=0,0,SUM(E191:P191))</f>
        <v>0</v>
      </c>
      <c r="E191" s="1461"/>
      <c r="F191" s="1462"/>
      <c r="G191" s="1462"/>
      <c r="H191" s="1462"/>
      <c r="I191" s="1462"/>
      <c r="J191" s="1462"/>
      <c r="K191" s="1462"/>
      <c r="L191" s="1462"/>
      <c r="M191" s="1462"/>
      <c r="N191" s="1462"/>
      <c r="O191" s="1462"/>
      <c r="P191" s="1463"/>
      <c r="T191" s="28" t="s">
        <v>105</v>
      </c>
      <c r="U191" s="450">
        <f t="shared" si="195"/>
        <v>0</v>
      </c>
      <c r="V191" s="439">
        <f t="shared" si="196"/>
        <v>0</v>
      </c>
      <c r="W191" s="437">
        <f t="shared" si="197"/>
        <v>0</v>
      </c>
      <c r="X191" s="438">
        <f t="shared" si="198"/>
        <v>0</v>
      </c>
      <c r="Y191" s="438">
        <f t="shared" si="199"/>
        <v>0</v>
      </c>
      <c r="Z191" s="438">
        <f t="shared" si="200"/>
        <v>0</v>
      </c>
      <c r="AA191" s="438">
        <f t="shared" si="201"/>
        <v>0</v>
      </c>
      <c r="AB191" s="438">
        <f t="shared" si="202"/>
        <v>0</v>
      </c>
      <c r="AC191" s="438">
        <f t="shared" si="203"/>
        <v>0</v>
      </c>
      <c r="AD191" s="438">
        <f t="shared" si="204"/>
        <v>0</v>
      </c>
      <c r="AE191" s="438">
        <f t="shared" si="205"/>
        <v>0</v>
      </c>
      <c r="AF191" s="438">
        <f t="shared" si="206"/>
        <v>0</v>
      </c>
      <c r="AG191" s="438">
        <f t="shared" si="207"/>
        <v>0</v>
      </c>
      <c r="AH191" s="439">
        <f t="shared" si="208"/>
        <v>0</v>
      </c>
    </row>
    <row r="192" spans="2:34" x14ac:dyDescent="0.2">
      <c r="B192" s="57" t="s">
        <v>106</v>
      </c>
      <c r="C192" s="450">
        <f t="shared" si="194"/>
        <v>0</v>
      </c>
      <c r="D192" s="439">
        <f>IF(C179=0,0,SUM(E192:P192))</f>
        <v>0</v>
      </c>
      <c r="E192" s="1461"/>
      <c r="F192" s="1462"/>
      <c r="G192" s="1462"/>
      <c r="H192" s="1462"/>
      <c r="I192" s="1462"/>
      <c r="J192" s="1462"/>
      <c r="K192" s="1462"/>
      <c r="L192" s="1462"/>
      <c r="M192" s="1462"/>
      <c r="N192" s="1462"/>
      <c r="O192" s="1462"/>
      <c r="P192" s="1463"/>
      <c r="T192" s="28" t="s">
        <v>106</v>
      </c>
      <c r="U192" s="450">
        <f t="shared" si="195"/>
        <v>0</v>
      </c>
      <c r="V192" s="439">
        <f t="shared" si="196"/>
        <v>0</v>
      </c>
      <c r="W192" s="437">
        <f t="shared" si="197"/>
        <v>0</v>
      </c>
      <c r="X192" s="438">
        <f t="shared" si="198"/>
        <v>0</v>
      </c>
      <c r="Y192" s="438">
        <f t="shared" si="199"/>
        <v>0</v>
      </c>
      <c r="Z192" s="438">
        <f t="shared" si="200"/>
        <v>0</v>
      </c>
      <c r="AA192" s="438">
        <f t="shared" si="201"/>
        <v>0</v>
      </c>
      <c r="AB192" s="438">
        <f t="shared" si="202"/>
        <v>0</v>
      </c>
      <c r="AC192" s="438">
        <f t="shared" si="203"/>
        <v>0</v>
      </c>
      <c r="AD192" s="438">
        <f t="shared" si="204"/>
        <v>0</v>
      </c>
      <c r="AE192" s="438">
        <f t="shared" si="205"/>
        <v>0</v>
      </c>
      <c r="AF192" s="438">
        <f t="shared" si="206"/>
        <v>0</v>
      </c>
      <c r="AG192" s="438">
        <f t="shared" si="207"/>
        <v>0</v>
      </c>
      <c r="AH192" s="439">
        <f t="shared" si="208"/>
        <v>0</v>
      </c>
    </row>
    <row r="193" spans="2:34" x14ac:dyDescent="0.2">
      <c r="B193" s="57" t="s">
        <v>37</v>
      </c>
      <c r="C193" s="450">
        <f t="shared" si="194"/>
        <v>0</v>
      </c>
      <c r="D193" s="439">
        <f>IF(C179=0,0,SUM(E193:P193))</f>
        <v>0</v>
      </c>
      <c r="E193" s="1461"/>
      <c r="F193" s="1462"/>
      <c r="G193" s="1462"/>
      <c r="H193" s="1462"/>
      <c r="I193" s="1462"/>
      <c r="J193" s="1462"/>
      <c r="K193" s="1462"/>
      <c r="L193" s="1462"/>
      <c r="M193" s="1462"/>
      <c r="N193" s="1462"/>
      <c r="O193" s="1462"/>
      <c r="P193" s="1463"/>
      <c r="T193" s="28" t="s">
        <v>37</v>
      </c>
      <c r="U193" s="450">
        <f t="shared" si="195"/>
        <v>0</v>
      </c>
      <c r="V193" s="439">
        <f t="shared" si="196"/>
        <v>0</v>
      </c>
      <c r="W193" s="437">
        <f t="shared" si="197"/>
        <v>0</v>
      </c>
      <c r="X193" s="438">
        <f t="shared" si="198"/>
        <v>0</v>
      </c>
      <c r="Y193" s="438">
        <f t="shared" si="199"/>
        <v>0</v>
      </c>
      <c r="Z193" s="438">
        <f t="shared" si="200"/>
        <v>0</v>
      </c>
      <c r="AA193" s="438">
        <f t="shared" si="201"/>
        <v>0</v>
      </c>
      <c r="AB193" s="438">
        <f t="shared" si="202"/>
        <v>0</v>
      </c>
      <c r="AC193" s="438">
        <f t="shared" si="203"/>
        <v>0</v>
      </c>
      <c r="AD193" s="438">
        <f t="shared" si="204"/>
        <v>0</v>
      </c>
      <c r="AE193" s="438">
        <f t="shared" si="205"/>
        <v>0</v>
      </c>
      <c r="AF193" s="438">
        <f t="shared" si="206"/>
        <v>0</v>
      </c>
      <c r="AG193" s="438">
        <f t="shared" si="207"/>
        <v>0</v>
      </c>
      <c r="AH193" s="439">
        <f t="shared" si="208"/>
        <v>0</v>
      </c>
    </row>
    <row r="194" spans="2:34" x14ac:dyDescent="0.2">
      <c r="B194" s="57" t="s">
        <v>36</v>
      </c>
      <c r="C194" s="450">
        <f t="shared" si="194"/>
        <v>0</v>
      </c>
      <c r="D194" s="439">
        <f>IF(C179=0,0,SUM(E194:P194))</f>
        <v>0</v>
      </c>
      <c r="E194" s="1464"/>
      <c r="F194" s="1465"/>
      <c r="G194" s="1465"/>
      <c r="H194" s="1465"/>
      <c r="I194" s="1465"/>
      <c r="J194" s="1465"/>
      <c r="K194" s="1465"/>
      <c r="L194" s="1465"/>
      <c r="M194" s="1465"/>
      <c r="N194" s="1465"/>
      <c r="O194" s="1465"/>
      <c r="P194" s="1466"/>
      <c r="T194" s="28" t="s">
        <v>36</v>
      </c>
      <c r="U194" s="450">
        <f t="shared" si="195"/>
        <v>0</v>
      </c>
      <c r="V194" s="439">
        <f t="shared" si="196"/>
        <v>0</v>
      </c>
      <c r="W194" s="437">
        <f t="shared" si="197"/>
        <v>0</v>
      </c>
      <c r="X194" s="438">
        <f t="shared" si="198"/>
        <v>0</v>
      </c>
      <c r="Y194" s="438">
        <f t="shared" si="199"/>
        <v>0</v>
      </c>
      <c r="Z194" s="438">
        <f t="shared" si="200"/>
        <v>0</v>
      </c>
      <c r="AA194" s="438">
        <f t="shared" si="201"/>
        <v>0</v>
      </c>
      <c r="AB194" s="438">
        <f t="shared" si="202"/>
        <v>0</v>
      </c>
      <c r="AC194" s="438">
        <f t="shared" si="203"/>
        <v>0</v>
      </c>
      <c r="AD194" s="438">
        <f t="shared" si="204"/>
        <v>0</v>
      </c>
      <c r="AE194" s="438">
        <f t="shared" si="205"/>
        <v>0</v>
      </c>
      <c r="AF194" s="438">
        <f t="shared" si="206"/>
        <v>0</v>
      </c>
      <c r="AG194" s="438">
        <f t="shared" si="207"/>
        <v>0</v>
      </c>
      <c r="AH194" s="439">
        <f t="shared" si="208"/>
        <v>0</v>
      </c>
    </row>
    <row r="195" spans="2:34" x14ac:dyDescent="0.2">
      <c r="B195" s="57" t="s">
        <v>94</v>
      </c>
      <c r="C195" s="450">
        <f t="shared" si="194"/>
        <v>0</v>
      </c>
      <c r="D195" s="486">
        <f>IF(C179=0,0,SUM(E195:P195))</f>
        <v>0</v>
      </c>
      <c r="E195" s="1464"/>
      <c r="F195" s="1465"/>
      <c r="G195" s="1465"/>
      <c r="H195" s="1465"/>
      <c r="I195" s="1465"/>
      <c r="J195" s="1465"/>
      <c r="K195" s="1465"/>
      <c r="L195" s="1465"/>
      <c r="M195" s="1465"/>
      <c r="N195" s="1465"/>
      <c r="O195" s="1465"/>
      <c r="P195" s="1466"/>
      <c r="T195" s="28" t="s">
        <v>94</v>
      </c>
      <c r="U195" s="450">
        <f t="shared" si="195"/>
        <v>0</v>
      </c>
      <c r="V195" s="486">
        <f t="shared" si="196"/>
        <v>0</v>
      </c>
      <c r="W195" s="437">
        <f t="shared" si="197"/>
        <v>0</v>
      </c>
      <c r="X195" s="438">
        <f t="shared" si="198"/>
        <v>0</v>
      </c>
      <c r="Y195" s="438">
        <f t="shared" si="199"/>
        <v>0</v>
      </c>
      <c r="Z195" s="438">
        <f t="shared" si="200"/>
        <v>0</v>
      </c>
      <c r="AA195" s="438">
        <f t="shared" si="201"/>
        <v>0</v>
      </c>
      <c r="AB195" s="438">
        <f t="shared" si="202"/>
        <v>0</v>
      </c>
      <c r="AC195" s="438">
        <f t="shared" si="203"/>
        <v>0</v>
      </c>
      <c r="AD195" s="438">
        <f t="shared" si="204"/>
        <v>0</v>
      </c>
      <c r="AE195" s="438">
        <f t="shared" si="205"/>
        <v>0</v>
      </c>
      <c r="AF195" s="438">
        <f t="shared" si="206"/>
        <v>0</v>
      </c>
      <c r="AG195" s="438">
        <f t="shared" si="207"/>
        <v>0</v>
      </c>
      <c r="AH195" s="439">
        <f t="shared" si="208"/>
        <v>0</v>
      </c>
    </row>
    <row r="196" spans="2:34" ht="13.5" thickBot="1" x14ac:dyDescent="0.25">
      <c r="B196" s="40" t="s">
        <v>93</v>
      </c>
      <c r="C196" s="498">
        <f t="shared" si="194"/>
        <v>0</v>
      </c>
      <c r="D196" s="512">
        <f>IF(C179=0,0,SUM(E196:P196))</f>
        <v>0</v>
      </c>
      <c r="E196" s="1464"/>
      <c r="F196" s="1465"/>
      <c r="G196" s="1465"/>
      <c r="H196" s="1465"/>
      <c r="I196" s="1465"/>
      <c r="J196" s="1465"/>
      <c r="K196" s="1465"/>
      <c r="L196" s="1465"/>
      <c r="M196" s="1465"/>
      <c r="N196" s="1465"/>
      <c r="O196" s="1465"/>
      <c r="P196" s="1466"/>
      <c r="T196" s="28" t="s">
        <v>93</v>
      </c>
      <c r="U196" s="498">
        <f t="shared" si="195"/>
        <v>0</v>
      </c>
      <c r="V196" s="512">
        <f t="shared" si="196"/>
        <v>0</v>
      </c>
      <c r="W196" s="484">
        <f t="shared" si="197"/>
        <v>0</v>
      </c>
      <c r="X196" s="485">
        <f t="shared" si="198"/>
        <v>0</v>
      </c>
      <c r="Y196" s="485">
        <f t="shared" si="199"/>
        <v>0</v>
      </c>
      <c r="Z196" s="485">
        <f t="shared" si="200"/>
        <v>0</v>
      </c>
      <c r="AA196" s="485">
        <f t="shared" si="201"/>
        <v>0</v>
      </c>
      <c r="AB196" s="485">
        <f t="shared" si="202"/>
        <v>0</v>
      </c>
      <c r="AC196" s="485">
        <f t="shared" si="203"/>
        <v>0</v>
      </c>
      <c r="AD196" s="485">
        <f t="shared" si="204"/>
        <v>0</v>
      </c>
      <c r="AE196" s="485">
        <f t="shared" si="205"/>
        <v>0</v>
      </c>
      <c r="AF196" s="485">
        <f t="shared" si="206"/>
        <v>0</v>
      </c>
      <c r="AG196" s="485">
        <f t="shared" si="207"/>
        <v>0</v>
      </c>
      <c r="AH196" s="486">
        <f t="shared" si="208"/>
        <v>0</v>
      </c>
    </row>
    <row r="197" spans="2:34" ht="13.5" thickBot="1" x14ac:dyDescent="0.25">
      <c r="B197" s="54" t="s">
        <v>107</v>
      </c>
      <c r="C197" s="416">
        <f t="shared" si="194"/>
        <v>0</v>
      </c>
      <c r="D197" s="423">
        <f>IF(C179=0,0,SUM(E197:P197))</f>
        <v>0</v>
      </c>
      <c r="E197" s="461">
        <f>SUM(E185:E196)</f>
        <v>0</v>
      </c>
      <c r="F197" s="453">
        <f>SUM(F185:F196)</f>
        <v>0</v>
      </c>
      <c r="G197" s="453">
        <f>SUM(G185:G196)</f>
        <v>0</v>
      </c>
      <c r="H197" s="453">
        <f>SUM(H185:H196)</f>
        <v>0</v>
      </c>
      <c r="I197" s="453">
        <f>SUM(I185:I196)</f>
        <v>0</v>
      </c>
      <c r="J197" s="453">
        <f t="shared" ref="J197:P197" si="209">SUM(J185:J196)</f>
        <v>0</v>
      </c>
      <c r="K197" s="453">
        <f t="shared" si="209"/>
        <v>0</v>
      </c>
      <c r="L197" s="453">
        <f t="shared" si="209"/>
        <v>0</v>
      </c>
      <c r="M197" s="453">
        <f t="shared" si="209"/>
        <v>0</v>
      </c>
      <c r="N197" s="453">
        <f t="shared" si="209"/>
        <v>0</v>
      </c>
      <c r="O197" s="453">
        <f t="shared" si="209"/>
        <v>0</v>
      </c>
      <c r="P197" s="454">
        <f t="shared" si="209"/>
        <v>0</v>
      </c>
      <c r="T197" s="30" t="s">
        <v>107</v>
      </c>
      <c r="U197" s="416">
        <f t="shared" si="195"/>
        <v>0</v>
      </c>
      <c r="V197" s="423">
        <f t="shared" si="196"/>
        <v>0</v>
      </c>
      <c r="W197" s="461">
        <f t="shared" si="197"/>
        <v>0</v>
      </c>
      <c r="X197" s="453">
        <f t="shared" si="198"/>
        <v>0</v>
      </c>
      <c r="Y197" s="453">
        <f t="shared" si="199"/>
        <v>0</v>
      </c>
      <c r="Z197" s="453">
        <f t="shared" si="200"/>
        <v>0</v>
      </c>
      <c r="AA197" s="453">
        <f t="shared" si="201"/>
        <v>0</v>
      </c>
      <c r="AB197" s="453">
        <f t="shared" si="202"/>
        <v>0</v>
      </c>
      <c r="AC197" s="453">
        <f t="shared" si="203"/>
        <v>0</v>
      </c>
      <c r="AD197" s="453">
        <f t="shared" si="204"/>
        <v>0</v>
      </c>
      <c r="AE197" s="453">
        <f t="shared" si="205"/>
        <v>0</v>
      </c>
      <c r="AF197" s="453">
        <f t="shared" si="206"/>
        <v>0</v>
      </c>
      <c r="AG197" s="453">
        <f t="shared" si="207"/>
        <v>0</v>
      </c>
      <c r="AH197" s="454">
        <f t="shared" si="208"/>
        <v>0</v>
      </c>
    </row>
    <row r="198" spans="2:34" ht="22.5" customHeight="1" thickBot="1" x14ac:dyDescent="0.25"/>
    <row r="199" spans="2:34" ht="24" thickBot="1" x14ac:dyDescent="0.4">
      <c r="B199" s="735" t="str">
        <f>'2.2 Rysäpyynti'!D4</f>
        <v>Isorysä1</v>
      </c>
      <c r="C199" s="736"/>
      <c r="D199" s="377"/>
      <c r="E199" s="377"/>
      <c r="F199" s="377"/>
      <c r="G199" s="377"/>
      <c r="H199" s="377"/>
      <c r="I199" s="734"/>
    </row>
    <row r="200" spans="2:34" ht="24" thickBot="1" x14ac:dyDescent="0.4">
      <c r="B200" s="39"/>
      <c r="C200" s="39"/>
      <c r="D200" s="43"/>
      <c r="X200" s="27"/>
    </row>
    <row r="201" spans="2:34" ht="24" thickBot="1" x14ac:dyDescent="0.4">
      <c r="B201" s="30" t="s">
        <v>39</v>
      </c>
      <c r="C201" s="446">
        <f>'2.2 Rysäpyynti'!G6</f>
        <v>0</v>
      </c>
      <c r="D201" s="8" t="s">
        <v>15</v>
      </c>
      <c r="E201" s="41"/>
      <c r="F201" s="42"/>
      <c r="G201" s="8" t="s">
        <v>5</v>
      </c>
      <c r="H201" s="10"/>
      <c r="I201" s="18"/>
      <c r="J201" s="18"/>
      <c r="K201" s="18"/>
      <c r="L201" s="10"/>
      <c r="N201" s="34"/>
    </row>
    <row r="202" spans="2:34" ht="13.5" thickBot="1" x14ac:dyDescent="0.25">
      <c r="B202" s="30" t="s">
        <v>2</v>
      </c>
      <c r="C202" s="1134" t="str">
        <f>IF(C201=0,"0",'2.2 Rysäpyynti'!E58)</f>
        <v>0</v>
      </c>
      <c r="D202" s="8" t="s">
        <v>43</v>
      </c>
      <c r="E202" s="10"/>
      <c r="F202" s="455">
        <f>'2.2 Rysäpyynti'!G59</f>
        <v>0</v>
      </c>
      <c r="G202" s="8" t="s">
        <v>6</v>
      </c>
      <c r="H202" s="18"/>
      <c r="I202" s="41"/>
      <c r="J202" s="18"/>
      <c r="K202" s="10"/>
      <c r="L202" s="446">
        <f>IF(C201=0,0,'2.2 Rysäpyynti'!E61)</f>
        <v>0</v>
      </c>
      <c r="N202" s="34"/>
      <c r="P202" s="34"/>
    </row>
    <row r="203" spans="2:34" ht="13.5" thickBot="1" x14ac:dyDescent="0.25">
      <c r="B203" s="30" t="s">
        <v>3</v>
      </c>
      <c r="C203" s="1134" t="str">
        <f>IF(C201=0,"0",'2.2 Rysäpyynti'!E59)</f>
        <v>0</v>
      </c>
      <c r="D203" s="8" t="s">
        <v>44</v>
      </c>
      <c r="E203" s="10"/>
      <c r="F203" s="456">
        <f>F202/30</f>
        <v>0</v>
      </c>
      <c r="G203" s="40" t="s">
        <v>26</v>
      </c>
      <c r="H203" s="14"/>
      <c r="I203" s="14"/>
      <c r="J203" s="14"/>
      <c r="K203" s="17"/>
      <c r="L203" s="457">
        <f>'2.2 Rysäpyynti'!G61</f>
        <v>0</v>
      </c>
    </row>
    <row r="204" spans="2:34" ht="13.5" thickBot="1" x14ac:dyDescent="0.25">
      <c r="B204" s="34"/>
      <c r="C204" s="34" t="s">
        <v>1</v>
      </c>
      <c r="D204" s="45"/>
      <c r="E204" s="34"/>
      <c r="G204" s="46"/>
      <c r="H204" s="34"/>
    </row>
    <row r="205" spans="2:34" ht="13.5" thickBot="1" x14ac:dyDescent="0.25">
      <c r="B205" s="5" t="s">
        <v>73</v>
      </c>
      <c r="C205" s="51" t="s">
        <v>46</v>
      </c>
      <c r="D205" s="52" t="s">
        <v>40</v>
      </c>
      <c r="E205" s="47"/>
      <c r="F205" s="48"/>
      <c r="G205" s="48"/>
      <c r="H205" s="48"/>
      <c r="I205" s="48"/>
      <c r="J205" s="41" t="s">
        <v>42</v>
      </c>
      <c r="K205" s="48"/>
      <c r="L205" s="48"/>
      <c r="M205" s="48"/>
      <c r="N205" s="48"/>
      <c r="O205" s="48"/>
      <c r="P205" s="49"/>
    </row>
    <row r="206" spans="2:34" ht="13.5" thickBot="1" x14ac:dyDescent="0.25">
      <c r="B206" s="57"/>
      <c r="C206" s="69" t="s">
        <v>47</v>
      </c>
      <c r="D206" s="55" t="s">
        <v>41</v>
      </c>
      <c r="E206" s="76">
        <v>1</v>
      </c>
      <c r="F206" s="33">
        <v>2</v>
      </c>
      <c r="G206" s="96">
        <v>3</v>
      </c>
      <c r="H206" s="96">
        <v>4</v>
      </c>
      <c r="I206" s="96">
        <v>5</v>
      </c>
      <c r="J206" s="96">
        <v>6</v>
      </c>
      <c r="K206" s="96">
        <v>7</v>
      </c>
      <c r="L206" s="96">
        <v>8</v>
      </c>
      <c r="M206" s="96">
        <v>9</v>
      </c>
      <c r="N206" s="96">
        <v>10</v>
      </c>
      <c r="O206" s="96">
        <v>11</v>
      </c>
      <c r="P206" s="97">
        <v>12</v>
      </c>
    </row>
    <row r="207" spans="2:34" x14ac:dyDescent="0.2">
      <c r="B207" s="5" t="s">
        <v>100</v>
      </c>
      <c r="C207" s="544">
        <f t="shared" ref="C207:C219" si="210">IF(D207=0,0,D207/$L$203)</f>
        <v>0</v>
      </c>
      <c r="D207" s="449">
        <f>IF(C201=0,0,SUM(E207:P207))</f>
        <v>0</v>
      </c>
      <c r="E207" s="1455"/>
      <c r="F207" s="1456"/>
      <c r="G207" s="1456"/>
      <c r="H207" s="1456"/>
      <c r="I207" s="1456"/>
      <c r="J207" s="1456"/>
      <c r="K207" s="1456"/>
      <c r="L207" s="1456"/>
      <c r="M207" s="1456"/>
      <c r="N207" s="1456"/>
      <c r="O207" s="1456"/>
      <c r="P207" s="1457"/>
    </row>
    <row r="208" spans="2:34" x14ac:dyDescent="0.2">
      <c r="B208" s="57" t="s">
        <v>108</v>
      </c>
      <c r="C208" s="501">
        <f t="shared" si="210"/>
        <v>0</v>
      </c>
      <c r="D208" s="450">
        <f>IF(C201=0,0,SUM(E208:P208))</f>
        <v>0</v>
      </c>
      <c r="E208" s="1458"/>
      <c r="F208" s="1459"/>
      <c r="G208" s="1459"/>
      <c r="H208" s="1459"/>
      <c r="I208" s="1459"/>
      <c r="J208" s="1459"/>
      <c r="K208" s="1459"/>
      <c r="L208" s="1459"/>
      <c r="M208" s="1459"/>
      <c r="N208" s="1459"/>
      <c r="O208" s="1459"/>
      <c r="P208" s="1460"/>
    </row>
    <row r="209" spans="2:16" x14ac:dyDescent="0.2">
      <c r="B209" s="57" t="s">
        <v>101</v>
      </c>
      <c r="C209" s="450">
        <f t="shared" si="210"/>
        <v>0</v>
      </c>
      <c r="D209" s="439">
        <f>IF(C201=0,0,SUM(E209:P209))</f>
        <v>0</v>
      </c>
      <c r="E209" s="1458"/>
      <c r="F209" s="1459"/>
      <c r="G209" s="1459"/>
      <c r="H209" s="1459"/>
      <c r="I209" s="1459"/>
      <c r="J209" s="1459"/>
      <c r="K209" s="1459"/>
      <c r="L209" s="1459"/>
      <c r="M209" s="1459"/>
      <c r="N209" s="1459"/>
      <c r="O209" s="1459"/>
      <c r="P209" s="1460"/>
    </row>
    <row r="210" spans="2:16" x14ac:dyDescent="0.2">
      <c r="B210" s="57" t="s">
        <v>102</v>
      </c>
      <c r="C210" s="450">
        <f t="shared" si="210"/>
        <v>0</v>
      </c>
      <c r="D210" s="439">
        <f>IF(C201=0,0,SUM(E210:P210))</f>
        <v>0</v>
      </c>
      <c r="E210" s="1461"/>
      <c r="F210" s="1462"/>
      <c r="G210" s="1462"/>
      <c r="H210" s="1462"/>
      <c r="I210" s="1462"/>
      <c r="J210" s="1462"/>
      <c r="K210" s="1462"/>
      <c r="L210" s="1462"/>
      <c r="M210" s="1462"/>
      <c r="N210" s="1462"/>
      <c r="O210" s="1462"/>
      <c r="P210" s="1463"/>
    </row>
    <row r="211" spans="2:16" x14ac:dyDescent="0.2">
      <c r="B211" s="57" t="s">
        <v>103</v>
      </c>
      <c r="C211" s="450">
        <f t="shared" si="210"/>
        <v>0</v>
      </c>
      <c r="D211" s="439">
        <f>IF(C201=0,0,SUM(E211:P211))</f>
        <v>0</v>
      </c>
      <c r="E211" s="1461"/>
      <c r="F211" s="1462"/>
      <c r="G211" s="1462"/>
      <c r="H211" s="1462"/>
      <c r="I211" s="1462"/>
      <c r="J211" s="1462"/>
      <c r="K211" s="1462"/>
      <c r="L211" s="1462"/>
      <c r="M211" s="1462"/>
      <c r="N211" s="1462"/>
      <c r="O211" s="1462"/>
      <c r="P211" s="1463"/>
    </row>
    <row r="212" spans="2:16" x14ac:dyDescent="0.2">
      <c r="B212" s="57" t="s">
        <v>104</v>
      </c>
      <c r="C212" s="450">
        <f t="shared" si="210"/>
        <v>0</v>
      </c>
      <c r="D212" s="439">
        <f>IF(C201=0,0,SUM(E212:P212))</f>
        <v>0</v>
      </c>
      <c r="E212" s="1461"/>
      <c r="F212" s="1462"/>
      <c r="G212" s="1462"/>
      <c r="H212" s="1462"/>
      <c r="I212" s="1462"/>
      <c r="J212" s="1462"/>
      <c r="K212" s="1462"/>
      <c r="L212" s="1462"/>
      <c r="M212" s="1462"/>
      <c r="N212" s="1462"/>
      <c r="O212" s="1462"/>
      <c r="P212" s="1463"/>
    </row>
    <row r="213" spans="2:16" x14ac:dyDescent="0.2">
      <c r="B213" s="57" t="s">
        <v>105</v>
      </c>
      <c r="C213" s="450">
        <f t="shared" si="210"/>
        <v>0</v>
      </c>
      <c r="D213" s="439">
        <f>IF(C201=0,0,SUM(E213:P213))</f>
        <v>0</v>
      </c>
      <c r="E213" s="1461"/>
      <c r="F213" s="1462"/>
      <c r="G213" s="1462"/>
      <c r="H213" s="1462"/>
      <c r="I213" s="1462"/>
      <c r="J213" s="1462"/>
      <c r="K213" s="1462"/>
      <c r="L213" s="1462"/>
      <c r="M213" s="1462"/>
      <c r="N213" s="1462"/>
      <c r="O213" s="1462"/>
      <c r="P213" s="1463"/>
    </row>
    <row r="214" spans="2:16" x14ac:dyDescent="0.2">
      <c r="B214" s="57" t="s">
        <v>106</v>
      </c>
      <c r="C214" s="450">
        <f t="shared" si="210"/>
        <v>0</v>
      </c>
      <c r="D214" s="439">
        <f>IF(C201=0,0,SUM(E214:P214))</f>
        <v>0</v>
      </c>
      <c r="E214" s="1461"/>
      <c r="F214" s="1462"/>
      <c r="G214" s="1462"/>
      <c r="H214" s="1462"/>
      <c r="I214" s="1462"/>
      <c r="J214" s="1462"/>
      <c r="K214" s="1462"/>
      <c r="L214" s="1462"/>
      <c r="M214" s="1462"/>
      <c r="N214" s="1462"/>
      <c r="O214" s="1462"/>
      <c r="P214" s="1463"/>
    </row>
    <row r="215" spans="2:16" x14ac:dyDescent="0.2">
      <c r="B215" s="57" t="s">
        <v>37</v>
      </c>
      <c r="C215" s="450">
        <f t="shared" si="210"/>
        <v>0</v>
      </c>
      <c r="D215" s="439">
        <f>IF(C201=0,0,SUM(E215:P215))</f>
        <v>0</v>
      </c>
      <c r="E215" s="1461"/>
      <c r="F215" s="1462"/>
      <c r="G215" s="1462"/>
      <c r="H215" s="1462"/>
      <c r="I215" s="1462"/>
      <c r="J215" s="1462"/>
      <c r="K215" s="1462"/>
      <c r="L215" s="1462"/>
      <c r="M215" s="1462"/>
      <c r="N215" s="1462"/>
      <c r="O215" s="1462"/>
      <c r="P215" s="1463"/>
    </row>
    <row r="216" spans="2:16" x14ac:dyDescent="0.2">
      <c r="B216" s="57" t="s">
        <v>36</v>
      </c>
      <c r="C216" s="450">
        <f t="shared" si="210"/>
        <v>0</v>
      </c>
      <c r="D216" s="439">
        <f>IF(C201=0,0,SUM(E216:P216))</f>
        <v>0</v>
      </c>
      <c r="E216" s="1464"/>
      <c r="F216" s="1465"/>
      <c r="G216" s="1465"/>
      <c r="H216" s="1465"/>
      <c r="I216" s="1465"/>
      <c r="J216" s="1465"/>
      <c r="K216" s="1465"/>
      <c r="L216" s="1465"/>
      <c r="M216" s="1465"/>
      <c r="N216" s="1465"/>
      <c r="O216" s="1465"/>
      <c r="P216" s="1466"/>
    </row>
    <row r="217" spans="2:16" x14ac:dyDescent="0.2">
      <c r="B217" s="57" t="s">
        <v>94</v>
      </c>
      <c r="C217" s="450">
        <f t="shared" si="210"/>
        <v>0</v>
      </c>
      <c r="D217" s="486">
        <f>IF(C201=0,0,SUM(E217:P217))</f>
        <v>0</v>
      </c>
      <c r="E217" s="1464"/>
      <c r="F217" s="1465"/>
      <c r="G217" s="1465"/>
      <c r="H217" s="1465"/>
      <c r="I217" s="1465"/>
      <c r="J217" s="1465"/>
      <c r="K217" s="1465"/>
      <c r="L217" s="1465"/>
      <c r="M217" s="1465"/>
      <c r="N217" s="1465"/>
      <c r="O217" s="1465"/>
      <c r="P217" s="1466"/>
    </row>
    <row r="218" spans="2:16" ht="13.5" thickBot="1" x14ac:dyDescent="0.25">
      <c r="B218" s="40" t="s">
        <v>93</v>
      </c>
      <c r="C218" s="498">
        <f t="shared" si="210"/>
        <v>0</v>
      </c>
      <c r="D218" s="512">
        <f>IF(C201=0,0,SUM(E218:P218))</f>
        <v>0</v>
      </c>
      <c r="E218" s="1464"/>
      <c r="F218" s="1465"/>
      <c r="G218" s="1465"/>
      <c r="H218" s="1465"/>
      <c r="I218" s="1465"/>
      <c r="J218" s="1465"/>
      <c r="K218" s="1465"/>
      <c r="L218" s="1465"/>
      <c r="M218" s="1465"/>
      <c r="N218" s="1465"/>
      <c r="O218" s="1465"/>
      <c r="P218" s="1466"/>
    </row>
    <row r="219" spans="2:16" ht="13.5" thickBot="1" x14ac:dyDescent="0.25">
      <c r="B219" s="54" t="s">
        <v>107</v>
      </c>
      <c r="C219" s="416">
        <f t="shared" si="210"/>
        <v>0</v>
      </c>
      <c r="D219" s="423">
        <f>IF(C201=0,0,SUM(E219:P219))</f>
        <v>0</v>
      </c>
      <c r="E219" s="431">
        <f>SUM(E207:E218)</f>
        <v>0</v>
      </c>
      <c r="F219" s="453">
        <f>SUM(F207:F218)</f>
        <v>0</v>
      </c>
      <c r="G219" s="453">
        <f t="shared" ref="G219:P219" si="211">SUM(G207:G218)</f>
        <v>0</v>
      </c>
      <c r="H219" s="453">
        <f t="shared" si="211"/>
        <v>0</v>
      </c>
      <c r="I219" s="453">
        <f t="shared" si="211"/>
        <v>0</v>
      </c>
      <c r="J219" s="453">
        <f t="shared" si="211"/>
        <v>0</v>
      </c>
      <c r="K219" s="453">
        <f t="shared" si="211"/>
        <v>0</v>
      </c>
      <c r="L219" s="453">
        <f t="shared" si="211"/>
        <v>0</v>
      </c>
      <c r="M219" s="453">
        <f t="shared" si="211"/>
        <v>0</v>
      </c>
      <c r="N219" s="453">
        <f t="shared" si="211"/>
        <v>0</v>
      </c>
      <c r="O219" s="453">
        <f t="shared" si="211"/>
        <v>0</v>
      </c>
      <c r="P219" s="454">
        <f t="shared" si="211"/>
        <v>0</v>
      </c>
    </row>
    <row r="220" spans="2:16" ht="13.5" thickBot="1" x14ac:dyDescent="0.25"/>
    <row r="221" spans="2:16" ht="24" thickBot="1" x14ac:dyDescent="0.4">
      <c r="B221" s="735" t="str">
        <f>'2.2 Rysäpyynti'!D105</f>
        <v>Isorysä2</v>
      </c>
      <c r="C221" s="736"/>
      <c r="D221" s="377"/>
      <c r="E221" s="377"/>
      <c r="F221" s="377"/>
      <c r="G221" s="377"/>
      <c r="H221" s="377"/>
      <c r="I221" s="734"/>
    </row>
    <row r="222" spans="2:16" ht="24" thickBot="1" x14ac:dyDescent="0.4">
      <c r="B222" s="39"/>
      <c r="C222" s="39"/>
      <c r="D222" s="43"/>
    </row>
    <row r="223" spans="2:16" ht="24" thickBot="1" x14ac:dyDescent="0.4">
      <c r="B223" s="30" t="s">
        <v>39</v>
      </c>
      <c r="C223" s="446">
        <f>'2.2 Rysäpyynti'!G107</f>
        <v>0</v>
      </c>
      <c r="D223" s="8" t="s">
        <v>15</v>
      </c>
      <c r="E223" s="41"/>
      <c r="F223" s="42"/>
      <c r="G223" s="8" t="s">
        <v>5</v>
      </c>
      <c r="H223" s="38"/>
      <c r="I223" s="18"/>
      <c r="J223" s="18"/>
      <c r="K223" s="18"/>
      <c r="L223" s="10"/>
      <c r="N223" s="34"/>
    </row>
    <row r="224" spans="2:16" ht="13.5" thickBot="1" x14ac:dyDescent="0.25">
      <c r="B224" s="30" t="s">
        <v>2</v>
      </c>
      <c r="C224" s="1134" t="str">
        <f>IF(C223=0,"0",'2.2 Rysäpyynti'!E159)</f>
        <v>0</v>
      </c>
      <c r="D224" s="8" t="s">
        <v>43</v>
      </c>
      <c r="E224" s="10"/>
      <c r="F224" s="447">
        <f>'2.2 Rysäpyynti'!G160</f>
        <v>0</v>
      </c>
      <c r="G224" s="8" t="s">
        <v>6</v>
      </c>
      <c r="H224" s="18"/>
      <c r="I224" s="41"/>
      <c r="J224" s="18"/>
      <c r="K224" s="10"/>
      <c r="L224" s="446">
        <f>IF(C223=0,0,'2.2 Rysäpyynti'!E162)</f>
        <v>0</v>
      </c>
      <c r="N224" s="34"/>
      <c r="P224" s="34"/>
    </row>
    <row r="225" spans="2:16" ht="13.5" thickBot="1" x14ac:dyDescent="0.25">
      <c r="B225" s="30" t="s">
        <v>3</v>
      </c>
      <c r="C225" s="1134" t="str">
        <f>IF(C223=0,"0",'2.2 Rysäpyynti'!E160)</f>
        <v>0</v>
      </c>
      <c r="D225" s="8" t="s">
        <v>44</v>
      </c>
      <c r="E225" s="10"/>
      <c r="F225" s="448">
        <f>F224/30</f>
        <v>0</v>
      </c>
      <c r="G225" s="40" t="s">
        <v>26</v>
      </c>
      <c r="H225" s="14"/>
      <c r="I225" s="14"/>
      <c r="J225" s="14"/>
      <c r="K225" s="17"/>
      <c r="L225" s="457">
        <f>'2.2 Rysäpyynti'!G162</f>
        <v>0</v>
      </c>
    </row>
    <row r="226" spans="2:16" ht="13.5" thickBot="1" x14ac:dyDescent="0.25">
      <c r="B226" s="34"/>
      <c r="C226" s="34" t="s">
        <v>1</v>
      </c>
      <c r="D226" s="45"/>
      <c r="E226" s="34"/>
      <c r="G226" s="46"/>
      <c r="H226" s="34"/>
    </row>
    <row r="227" spans="2:16" ht="13.5" thickBot="1" x14ac:dyDescent="0.25">
      <c r="B227" s="5" t="s">
        <v>73</v>
      </c>
      <c r="C227" s="51" t="s">
        <v>46</v>
      </c>
      <c r="D227" s="52" t="s">
        <v>40</v>
      </c>
      <c r="E227" s="47"/>
      <c r="F227" s="48"/>
      <c r="G227" s="48"/>
      <c r="H227" s="48"/>
      <c r="I227" s="48"/>
      <c r="J227" s="41" t="s">
        <v>42</v>
      </c>
      <c r="K227" s="48"/>
      <c r="L227" s="48"/>
      <c r="M227" s="48"/>
      <c r="N227" s="48"/>
      <c r="O227" s="48"/>
      <c r="P227" s="49"/>
    </row>
    <row r="228" spans="2:16" ht="13.5" thickBot="1" x14ac:dyDescent="0.25">
      <c r="B228" s="57"/>
      <c r="C228" s="69" t="s">
        <v>47</v>
      </c>
      <c r="D228" s="55" t="s">
        <v>41</v>
      </c>
      <c r="E228" s="76">
        <v>1</v>
      </c>
      <c r="F228" s="33">
        <v>2</v>
      </c>
      <c r="G228" s="96">
        <v>3</v>
      </c>
      <c r="H228" s="96">
        <v>4</v>
      </c>
      <c r="I228" s="96">
        <v>5</v>
      </c>
      <c r="J228" s="96">
        <v>6</v>
      </c>
      <c r="K228" s="96">
        <v>7</v>
      </c>
      <c r="L228" s="96">
        <v>8</v>
      </c>
      <c r="M228" s="96">
        <v>9</v>
      </c>
      <c r="N228" s="96">
        <v>10</v>
      </c>
      <c r="O228" s="96">
        <v>11</v>
      </c>
      <c r="P228" s="97">
        <v>12</v>
      </c>
    </row>
    <row r="229" spans="2:16" x14ac:dyDescent="0.2">
      <c r="B229" s="5" t="s">
        <v>100</v>
      </c>
      <c r="C229" s="544">
        <f t="shared" ref="C229:C241" si="212">IF(D229=0,0,D229/$L$225)</f>
        <v>0</v>
      </c>
      <c r="D229" s="449">
        <f>IF(C223=0,0,SUM(E229:P229))</f>
        <v>0</v>
      </c>
      <c r="E229" s="1455"/>
      <c r="F229" s="1456"/>
      <c r="G229" s="1456"/>
      <c r="H229" s="1456"/>
      <c r="I229" s="1456"/>
      <c r="J229" s="1456"/>
      <c r="K229" s="1456"/>
      <c r="L229" s="1456"/>
      <c r="M229" s="1456"/>
      <c r="N229" s="1456"/>
      <c r="O229" s="1456"/>
      <c r="P229" s="1457"/>
    </row>
    <row r="230" spans="2:16" x14ac:dyDescent="0.2">
      <c r="B230" s="57" t="s">
        <v>108</v>
      </c>
      <c r="C230" s="501">
        <f t="shared" si="212"/>
        <v>0</v>
      </c>
      <c r="D230" s="450">
        <f>IF(C223=0,0,SUM(E230:P230))</f>
        <v>0</v>
      </c>
      <c r="E230" s="1458"/>
      <c r="F230" s="1459"/>
      <c r="G230" s="1459"/>
      <c r="H230" s="1459"/>
      <c r="I230" s="1459"/>
      <c r="J230" s="1459"/>
      <c r="K230" s="1459"/>
      <c r="L230" s="1459"/>
      <c r="M230" s="1459"/>
      <c r="N230" s="1459"/>
      <c r="O230" s="1459"/>
      <c r="P230" s="1460"/>
    </row>
    <row r="231" spans="2:16" x14ac:dyDescent="0.2">
      <c r="B231" s="57" t="s">
        <v>101</v>
      </c>
      <c r="C231" s="450">
        <f t="shared" si="212"/>
        <v>0</v>
      </c>
      <c r="D231" s="439">
        <f>IF(C223=0,0,SUM(E231:P231))</f>
        <v>0</v>
      </c>
      <c r="E231" s="1458"/>
      <c r="F231" s="1459"/>
      <c r="G231" s="1459"/>
      <c r="H231" s="1459"/>
      <c r="I231" s="1459"/>
      <c r="J231" s="1459"/>
      <c r="K231" s="1459"/>
      <c r="L231" s="1459"/>
      <c r="M231" s="1459"/>
      <c r="N231" s="1459"/>
      <c r="O231" s="1459"/>
      <c r="P231" s="1460"/>
    </row>
    <row r="232" spans="2:16" x14ac:dyDescent="0.2">
      <c r="B232" s="57" t="s">
        <v>102</v>
      </c>
      <c r="C232" s="450">
        <f t="shared" si="212"/>
        <v>0</v>
      </c>
      <c r="D232" s="439">
        <f>IF(C223=0,0,SUM(E232:P232))</f>
        <v>0</v>
      </c>
      <c r="E232" s="1461"/>
      <c r="F232" s="1462"/>
      <c r="G232" s="1462"/>
      <c r="H232" s="1462"/>
      <c r="I232" s="1462"/>
      <c r="J232" s="1462"/>
      <c r="K232" s="1462"/>
      <c r="L232" s="1462"/>
      <c r="M232" s="1462"/>
      <c r="N232" s="1462"/>
      <c r="O232" s="1462"/>
      <c r="P232" s="1463"/>
    </row>
    <row r="233" spans="2:16" x14ac:dyDescent="0.2">
      <c r="B233" s="57" t="s">
        <v>103</v>
      </c>
      <c r="C233" s="450">
        <f t="shared" si="212"/>
        <v>0</v>
      </c>
      <c r="D233" s="439">
        <f>IF(C223=0,0,SUM(E233:P233))</f>
        <v>0</v>
      </c>
      <c r="E233" s="1461"/>
      <c r="F233" s="1462"/>
      <c r="G233" s="1462"/>
      <c r="H233" s="1462"/>
      <c r="I233" s="1462"/>
      <c r="J233" s="1462"/>
      <c r="K233" s="1462"/>
      <c r="L233" s="1462"/>
      <c r="M233" s="1462"/>
      <c r="N233" s="1462"/>
      <c r="O233" s="1462"/>
      <c r="P233" s="1463"/>
    </row>
    <row r="234" spans="2:16" x14ac:dyDescent="0.2">
      <c r="B234" s="57" t="s">
        <v>104</v>
      </c>
      <c r="C234" s="450">
        <f t="shared" si="212"/>
        <v>0</v>
      </c>
      <c r="D234" s="439">
        <f>IF(C223=0,0,SUM(E234:P234))</f>
        <v>0</v>
      </c>
      <c r="E234" s="1461"/>
      <c r="F234" s="1462"/>
      <c r="G234" s="1462"/>
      <c r="H234" s="1462"/>
      <c r="I234" s="1462"/>
      <c r="J234" s="1462"/>
      <c r="K234" s="1462"/>
      <c r="L234" s="1462"/>
      <c r="M234" s="1462"/>
      <c r="N234" s="1462"/>
      <c r="O234" s="1462"/>
      <c r="P234" s="1463"/>
    </row>
    <row r="235" spans="2:16" x14ac:dyDescent="0.2">
      <c r="B235" s="57" t="s">
        <v>105</v>
      </c>
      <c r="C235" s="450">
        <f t="shared" si="212"/>
        <v>0</v>
      </c>
      <c r="D235" s="439">
        <f>IF(C223=0,0,SUM(E235:P235))</f>
        <v>0</v>
      </c>
      <c r="E235" s="1461"/>
      <c r="F235" s="1462"/>
      <c r="G235" s="1462"/>
      <c r="H235" s="1462"/>
      <c r="I235" s="1462"/>
      <c r="J235" s="1462"/>
      <c r="K235" s="1462"/>
      <c r="L235" s="1462"/>
      <c r="M235" s="1462"/>
      <c r="N235" s="1462"/>
      <c r="O235" s="1462"/>
      <c r="P235" s="1463"/>
    </row>
    <row r="236" spans="2:16" x14ac:dyDescent="0.2">
      <c r="B236" s="57" t="s">
        <v>106</v>
      </c>
      <c r="C236" s="450">
        <f t="shared" si="212"/>
        <v>0</v>
      </c>
      <c r="D236" s="439">
        <f>IF(C223=0,0,SUM(E236:P236))</f>
        <v>0</v>
      </c>
      <c r="E236" s="1461"/>
      <c r="F236" s="1462"/>
      <c r="G236" s="1462"/>
      <c r="H236" s="1462"/>
      <c r="I236" s="1462"/>
      <c r="J236" s="1462"/>
      <c r="K236" s="1462"/>
      <c r="L236" s="1462"/>
      <c r="M236" s="1462"/>
      <c r="N236" s="1462"/>
      <c r="O236" s="1462"/>
      <c r="P236" s="1463"/>
    </row>
    <row r="237" spans="2:16" x14ac:dyDescent="0.2">
      <c r="B237" s="57" t="s">
        <v>37</v>
      </c>
      <c r="C237" s="450">
        <f t="shared" si="212"/>
        <v>0</v>
      </c>
      <c r="D237" s="439">
        <f>IF(C223=0,0,SUM(E237:P237))</f>
        <v>0</v>
      </c>
      <c r="E237" s="1461"/>
      <c r="F237" s="1462"/>
      <c r="G237" s="1462"/>
      <c r="H237" s="1462"/>
      <c r="I237" s="1462"/>
      <c r="J237" s="1462"/>
      <c r="K237" s="1462"/>
      <c r="L237" s="1462"/>
      <c r="M237" s="1462"/>
      <c r="N237" s="1462"/>
      <c r="O237" s="1462"/>
      <c r="P237" s="1463"/>
    </row>
    <row r="238" spans="2:16" x14ac:dyDescent="0.2">
      <c r="B238" s="57" t="s">
        <v>36</v>
      </c>
      <c r="C238" s="450">
        <f t="shared" si="212"/>
        <v>0</v>
      </c>
      <c r="D238" s="439">
        <f>IF(C223=0,0,SUM(E238:P238))</f>
        <v>0</v>
      </c>
      <c r="E238" s="1464"/>
      <c r="F238" s="1465"/>
      <c r="G238" s="1465"/>
      <c r="H238" s="1465"/>
      <c r="I238" s="1465"/>
      <c r="J238" s="1465"/>
      <c r="K238" s="1465"/>
      <c r="L238" s="1465"/>
      <c r="M238" s="1465"/>
      <c r="N238" s="1465"/>
      <c r="O238" s="1465"/>
      <c r="P238" s="1466"/>
    </row>
    <row r="239" spans="2:16" x14ac:dyDescent="0.2">
      <c r="B239" s="57" t="s">
        <v>94</v>
      </c>
      <c r="C239" s="450">
        <f t="shared" si="212"/>
        <v>0</v>
      </c>
      <c r="D239" s="486">
        <f>IF(C223=0,0,SUM(E239:P239))</f>
        <v>0</v>
      </c>
      <c r="E239" s="1464"/>
      <c r="F239" s="1465"/>
      <c r="G239" s="1465"/>
      <c r="H239" s="1465"/>
      <c r="I239" s="1465"/>
      <c r="J239" s="1465"/>
      <c r="K239" s="1465"/>
      <c r="L239" s="1465"/>
      <c r="M239" s="1465"/>
      <c r="N239" s="1465"/>
      <c r="O239" s="1465"/>
      <c r="P239" s="1466"/>
    </row>
    <row r="240" spans="2:16" ht="13.5" thickBot="1" x14ac:dyDescent="0.25">
      <c r="B240" s="40" t="s">
        <v>93</v>
      </c>
      <c r="C240" s="498">
        <f t="shared" si="212"/>
        <v>0</v>
      </c>
      <c r="D240" s="512">
        <f>IF(C223=0,0,SUM(E240:P240))</f>
        <v>0</v>
      </c>
      <c r="E240" s="1464"/>
      <c r="F240" s="1465"/>
      <c r="G240" s="1465"/>
      <c r="H240" s="1465"/>
      <c r="I240" s="1465"/>
      <c r="J240" s="1465"/>
      <c r="K240" s="1465"/>
      <c r="L240" s="1465"/>
      <c r="M240" s="1465"/>
      <c r="N240" s="1465"/>
      <c r="O240" s="1465"/>
      <c r="P240" s="1466"/>
    </row>
    <row r="241" spans="2:16" ht="13.5" thickBot="1" x14ac:dyDescent="0.25">
      <c r="B241" s="54" t="s">
        <v>107</v>
      </c>
      <c r="C241" s="416">
        <f t="shared" si="212"/>
        <v>0</v>
      </c>
      <c r="D241" s="423">
        <f>IF(C223=0,0,SUM(E241:P241))</f>
        <v>0</v>
      </c>
      <c r="E241" s="431">
        <f t="shared" ref="E241:P241" si="213">SUM(E229:E240)</f>
        <v>0</v>
      </c>
      <c r="F241" s="453">
        <f t="shared" si="213"/>
        <v>0</v>
      </c>
      <c r="G241" s="453">
        <f t="shared" si="213"/>
        <v>0</v>
      </c>
      <c r="H241" s="453">
        <f t="shared" si="213"/>
        <v>0</v>
      </c>
      <c r="I241" s="453">
        <f t="shared" si="213"/>
        <v>0</v>
      </c>
      <c r="J241" s="453">
        <f t="shared" si="213"/>
        <v>0</v>
      </c>
      <c r="K241" s="453">
        <f t="shared" si="213"/>
        <v>0</v>
      </c>
      <c r="L241" s="453">
        <f t="shared" si="213"/>
        <v>0</v>
      </c>
      <c r="M241" s="453">
        <f t="shared" si="213"/>
        <v>0</v>
      </c>
      <c r="N241" s="453">
        <f t="shared" si="213"/>
        <v>0</v>
      </c>
      <c r="O241" s="453">
        <f t="shared" si="213"/>
        <v>0</v>
      </c>
      <c r="P241" s="453">
        <f t="shared" si="213"/>
        <v>0</v>
      </c>
    </row>
    <row r="242" spans="2:16" ht="13.5" thickBot="1" x14ac:dyDescent="0.25"/>
    <row r="243" spans="2:16" ht="24" thickBot="1" x14ac:dyDescent="0.4">
      <c r="B243" s="735" t="str">
        <f>'2.2 Rysäpyynti'!K4</f>
        <v>PU-rysä1</v>
      </c>
      <c r="C243" s="736"/>
      <c r="D243" s="737" t="str">
        <f>'2.2 Rysäpyynti'!L4</f>
        <v>Kevät</v>
      </c>
      <c r="E243" s="377"/>
      <c r="F243" s="377"/>
      <c r="G243" s="377"/>
      <c r="H243" s="377"/>
      <c r="I243" s="734"/>
    </row>
    <row r="244" spans="2:16" ht="24" thickBot="1" x14ac:dyDescent="0.4">
      <c r="B244" s="39"/>
      <c r="C244" s="39"/>
      <c r="D244" s="43"/>
    </row>
    <row r="245" spans="2:16" ht="24" thickBot="1" x14ac:dyDescent="0.4">
      <c r="B245" s="30" t="s">
        <v>39</v>
      </c>
      <c r="C245" s="446">
        <f>'2.2 Rysäpyynti'!N6</f>
        <v>0</v>
      </c>
      <c r="D245" s="8" t="s">
        <v>15</v>
      </c>
      <c r="E245" s="41"/>
      <c r="F245" s="42"/>
      <c r="G245" s="8" t="s">
        <v>5</v>
      </c>
      <c r="H245" s="10"/>
      <c r="I245" s="18"/>
      <c r="J245" s="18"/>
      <c r="K245" s="18"/>
      <c r="L245" s="10"/>
    </row>
    <row r="246" spans="2:16" ht="13.5" thickBot="1" x14ac:dyDescent="0.25">
      <c r="B246" s="30" t="s">
        <v>2</v>
      </c>
      <c r="C246" s="1134" t="str">
        <f>IF(C245=0,"0",'2.2 Rysäpyynti'!L10)</f>
        <v>0</v>
      </c>
      <c r="D246" s="8" t="s">
        <v>4</v>
      </c>
      <c r="E246" s="10"/>
      <c r="F246" s="455">
        <f>'2.2 Rysäpyynti'!N11</f>
        <v>0</v>
      </c>
      <c r="G246" s="8" t="s">
        <v>6</v>
      </c>
      <c r="H246" s="18"/>
      <c r="I246" s="41"/>
      <c r="J246" s="18"/>
      <c r="K246" s="10"/>
      <c r="L246" s="446">
        <f>IF(C245=0,0,'2.2 Rysäpyynti'!L13)</f>
        <v>0</v>
      </c>
    </row>
    <row r="247" spans="2:16" ht="13.5" thickBot="1" x14ac:dyDescent="0.25">
      <c r="B247" s="30" t="s">
        <v>3</v>
      </c>
      <c r="C247" s="1134" t="str">
        <f>IF(C245=0,"0",'2.2 Rysäpyynti'!L11)</f>
        <v>0</v>
      </c>
      <c r="D247" s="8" t="s">
        <v>38</v>
      </c>
      <c r="E247" s="10"/>
      <c r="F247" s="456">
        <f>F246/30</f>
        <v>0</v>
      </c>
      <c r="G247" s="40" t="s">
        <v>26</v>
      </c>
      <c r="H247" s="14"/>
      <c r="I247" s="14"/>
      <c r="J247" s="14"/>
      <c r="K247" s="17"/>
      <c r="L247" s="457">
        <f>'2.2 Rysäpyynti'!N13</f>
        <v>0</v>
      </c>
    </row>
    <row r="248" spans="2:16" ht="13.5" thickBot="1" x14ac:dyDescent="0.25">
      <c r="B248" s="34"/>
      <c r="C248" s="34"/>
      <c r="D248" s="45"/>
      <c r="E248" s="34"/>
      <c r="G248" s="35"/>
      <c r="H248" s="34"/>
    </row>
    <row r="249" spans="2:16" ht="13.5" thickBot="1" x14ac:dyDescent="0.25">
      <c r="B249" s="5" t="s">
        <v>73</v>
      </c>
      <c r="C249" s="51" t="s">
        <v>46</v>
      </c>
      <c r="D249" s="81" t="s">
        <v>40</v>
      </c>
      <c r="E249" s="47"/>
      <c r="F249" s="48"/>
      <c r="G249" s="48"/>
      <c r="H249" s="48"/>
      <c r="I249" s="48"/>
      <c r="J249" s="41" t="s">
        <v>42</v>
      </c>
      <c r="K249" s="48"/>
      <c r="L249" s="48"/>
      <c r="M249" s="48"/>
      <c r="N249" s="48"/>
      <c r="O249" s="48"/>
      <c r="P249" s="49"/>
    </row>
    <row r="250" spans="2:16" ht="13.5" thickBot="1" x14ac:dyDescent="0.25">
      <c r="B250" s="28"/>
      <c r="C250" s="69" t="s">
        <v>47</v>
      </c>
      <c r="D250" s="55" t="s">
        <v>41</v>
      </c>
      <c r="E250" s="76">
        <v>1</v>
      </c>
      <c r="F250" s="33">
        <v>2</v>
      </c>
      <c r="G250" s="96">
        <v>3</v>
      </c>
      <c r="H250" s="96">
        <v>4</v>
      </c>
      <c r="I250" s="96">
        <v>5</v>
      </c>
      <c r="J250" s="96">
        <v>6</v>
      </c>
      <c r="K250" s="96">
        <v>7</v>
      </c>
      <c r="L250" s="96">
        <v>8</v>
      </c>
      <c r="M250" s="96">
        <v>9</v>
      </c>
      <c r="N250" s="96">
        <v>10</v>
      </c>
      <c r="O250" s="96">
        <v>11</v>
      </c>
      <c r="P250" s="97">
        <v>12</v>
      </c>
    </row>
    <row r="251" spans="2:16" x14ac:dyDescent="0.2">
      <c r="B251" s="5" t="s">
        <v>100</v>
      </c>
      <c r="C251" s="544">
        <f t="shared" ref="C251:C263" si="214">IF(D251=0,0,D251/$L$247)</f>
        <v>0</v>
      </c>
      <c r="D251" s="449">
        <f>IF(C245=0,0,SUM(E251:P251))</f>
        <v>0</v>
      </c>
      <c r="E251" s="1455"/>
      <c r="F251" s="1456"/>
      <c r="G251" s="1456"/>
      <c r="H251" s="1456"/>
      <c r="I251" s="1456"/>
      <c r="J251" s="1456"/>
      <c r="K251" s="1456"/>
      <c r="L251" s="1456"/>
      <c r="M251" s="1456"/>
      <c r="N251" s="1456"/>
      <c r="O251" s="1456"/>
      <c r="P251" s="1457"/>
    </row>
    <row r="252" spans="2:16" x14ac:dyDescent="0.2">
      <c r="B252" s="57" t="s">
        <v>108</v>
      </c>
      <c r="C252" s="501">
        <f t="shared" si="214"/>
        <v>0</v>
      </c>
      <c r="D252" s="450">
        <f>IF(C245=0,0,SUM(E252:P252))</f>
        <v>0</v>
      </c>
      <c r="E252" s="1458"/>
      <c r="F252" s="1459"/>
      <c r="G252" s="1459"/>
      <c r="H252" s="1459"/>
      <c r="I252" s="1459"/>
      <c r="J252" s="1459"/>
      <c r="K252" s="1459"/>
      <c r="L252" s="1459"/>
      <c r="M252" s="1459"/>
      <c r="N252" s="1459"/>
      <c r="O252" s="1459"/>
      <c r="P252" s="1460"/>
    </row>
    <row r="253" spans="2:16" x14ac:dyDescent="0.2">
      <c r="B253" s="57" t="s">
        <v>101</v>
      </c>
      <c r="C253" s="450">
        <f t="shared" si="214"/>
        <v>0</v>
      </c>
      <c r="D253" s="439">
        <f>IF(C245=0,0,SUM(E253:P253))</f>
        <v>0</v>
      </c>
      <c r="E253" s="1458"/>
      <c r="F253" s="1459"/>
      <c r="G253" s="1459"/>
      <c r="H253" s="1459"/>
      <c r="I253" s="1459"/>
      <c r="J253" s="1459"/>
      <c r="K253" s="1459"/>
      <c r="L253" s="1459"/>
      <c r="M253" s="1459"/>
      <c r="N253" s="1459"/>
      <c r="O253" s="1459"/>
      <c r="P253" s="1460"/>
    </row>
    <row r="254" spans="2:16" x14ac:dyDescent="0.2">
      <c r="B254" s="57" t="s">
        <v>102</v>
      </c>
      <c r="C254" s="450">
        <f t="shared" si="214"/>
        <v>0</v>
      </c>
      <c r="D254" s="439">
        <f>IF(C245=0,0,SUM(E254:P254))</f>
        <v>0</v>
      </c>
      <c r="E254" s="1461"/>
      <c r="F254" s="1462"/>
      <c r="G254" s="1462"/>
      <c r="H254" s="1462"/>
      <c r="I254" s="1462"/>
      <c r="J254" s="1462"/>
      <c r="K254" s="1462"/>
      <c r="L254" s="1462"/>
      <c r="M254" s="1462"/>
      <c r="N254" s="1462"/>
      <c r="O254" s="1462"/>
      <c r="P254" s="1463"/>
    </row>
    <row r="255" spans="2:16" x14ac:dyDescent="0.2">
      <c r="B255" s="57" t="s">
        <v>103</v>
      </c>
      <c r="C255" s="450">
        <f t="shared" si="214"/>
        <v>0</v>
      </c>
      <c r="D255" s="439">
        <f>IF(C245=0,0,SUM(E255:P255))</f>
        <v>0</v>
      </c>
      <c r="E255" s="1461"/>
      <c r="F255" s="1462"/>
      <c r="G255" s="1462"/>
      <c r="H255" s="1462"/>
      <c r="I255" s="1462"/>
      <c r="J255" s="1462"/>
      <c r="K255" s="1462"/>
      <c r="L255" s="1462"/>
      <c r="M255" s="1462"/>
      <c r="N255" s="1462"/>
      <c r="O255" s="1462"/>
      <c r="P255" s="1463"/>
    </row>
    <row r="256" spans="2:16" x14ac:dyDescent="0.2">
      <c r="B256" s="57" t="s">
        <v>104</v>
      </c>
      <c r="C256" s="450">
        <f>IF(D256=0,0,D256/$L$247)</f>
        <v>0</v>
      </c>
      <c r="D256" s="439">
        <f>IF(C245=0,0,SUM(E256:P256))</f>
        <v>0</v>
      </c>
      <c r="E256" s="1461"/>
      <c r="F256" s="1462"/>
      <c r="G256" s="1462"/>
      <c r="H256" s="1462"/>
      <c r="I256" s="1462"/>
      <c r="J256" s="1462"/>
      <c r="K256" s="1462"/>
      <c r="L256" s="1462"/>
      <c r="M256" s="1462"/>
      <c r="N256" s="1462"/>
      <c r="O256" s="1462"/>
      <c r="P256" s="1463"/>
    </row>
    <row r="257" spans="2:16" x14ac:dyDescent="0.2">
      <c r="B257" s="57" t="s">
        <v>105</v>
      </c>
      <c r="C257" s="450">
        <f t="shared" si="214"/>
        <v>0</v>
      </c>
      <c r="D257" s="439">
        <f>IF(C245=0,0,SUM(E257:P257))</f>
        <v>0</v>
      </c>
      <c r="E257" s="1461"/>
      <c r="F257" s="1462"/>
      <c r="G257" s="1462"/>
      <c r="H257" s="1462"/>
      <c r="I257" s="1462"/>
      <c r="J257" s="1462"/>
      <c r="K257" s="1462"/>
      <c r="L257" s="1462"/>
      <c r="M257" s="1462"/>
      <c r="N257" s="1462"/>
      <c r="O257" s="1462"/>
      <c r="P257" s="1463"/>
    </row>
    <row r="258" spans="2:16" x14ac:dyDescent="0.2">
      <c r="B258" s="57" t="s">
        <v>106</v>
      </c>
      <c r="C258" s="450">
        <f t="shared" si="214"/>
        <v>0</v>
      </c>
      <c r="D258" s="439">
        <f>IF(C245=0,0,SUM(E258:P258))</f>
        <v>0</v>
      </c>
      <c r="E258" s="1461"/>
      <c r="F258" s="1462"/>
      <c r="G258" s="1462"/>
      <c r="H258" s="1462"/>
      <c r="I258" s="1462"/>
      <c r="J258" s="1462"/>
      <c r="K258" s="1462"/>
      <c r="L258" s="1462"/>
      <c r="M258" s="1462"/>
      <c r="N258" s="1462"/>
      <c r="O258" s="1462"/>
      <c r="P258" s="1463"/>
    </row>
    <row r="259" spans="2:16" x14ac:dyDescent="0.2">
      <c r="B259" s="57" t="s">
        <v>37</v>
      </c>
      <c r="C259" s="450">
        <f t="shared" si="214"/>
        <v>0</v>
      </c>
      <c r="D259" s="439">
        <f>IF(C245=0,0,SUM(E259:P259))</f>
        <v>0</v>
      </c>
      <c r="E259" s="1461"/>
      <c r="F259" s="1462"/>
      <c r="G259" s="1462"/>
      <c r="H259" s="1462"/>
      <c r="I259" s="1462"/>
      <c r="J259" s="1462"/>
      <c r="K259" s="1462"/>
      <c r="L259" s="1462"/>
      <c r="M259" s="1462"/>
      <c r="N259" s="1462"/>
      <c r="O259" s="1462"/>
      <c r="P259" s="1463"/>
    </row>
    <row r="260" spans="2:16" x14ac:dyDescent="0.2">
      <c r="B260" s="57" t="s">
        <v>36</v>
      </c>
      <c r="C260" s="450">
        <f t="shared" si="214"/>
        <v>0</v>
      </c>
      <c r="D260" s="439">
        <f>IF(C245=0,0,SUM(E260:P260))</f>
        <v>0</v>
      </c>
      <c r="E260" s="1464"/>
      <c r="F260" s="1465"/>
      <c r="G260" s="1465"/>
      <c r="H260" s="1465"/>
      <c r="I260" s="1465"/>
      <c r="J260" s="1465"/>
      <c r="K260" s="1465"/>
      <c r="L260" s="1465"/>
      <c r="M260" s="1465"/>
      <c r="N260" s="1465"/>
      <c r="O260" s="1465"/>
      <c r="P260" s="1466"/>
    </row>
    <row r="261" spans="2:16" x14ac:dyDescent="0.2">
      <c r="B261" s="57" t="s">
        <v>94</v>
      </c>
      <c r="C261" s="450">
        <f t="shared" si="214"/>
        <v>0</v>
      </c>
      <c r="D261" s="486">
        <f>IF(C245=0,0,SUM(E261:P261))</f>
        <v>0</v>
      </c>
      <c r="E261" s="1464"/>
      <c r="F261" s="1465"/>
      <c r="G261" s="1465"/>
      <c r="H261" s="1465"/>
      <c r="I261" s="1465"/>
      <c r="J261" s="1465"/>
      <c r="K261" s="1465"/>
      <c r="L261" s="1465"/>
      <c r="M261" s="1465"/>
      <c r="N261" s="1465"/>
      <c r="O261" s="1465"/>
      <c r="P261" s="1466"/>
    </row>
    <row r="262" spans="2:16" ht="13.5" thickBot="1" x14ac:dyDescent="0.25">
      <c r="B262" s="40" t="s">
        <v>93</v>
      </c>
      <c r="C262" s="498">
        <f t="shared" si="214"/>
        <v>0</v>
      </c>
      <c r="D262" s="512">
        <f>IF(C245=0,0,SUM(E262:P262))</f>
        <v>0</v>
      </c>
      <c r="E262" s="1464"/>
      <c r="F262" s="1465"/>
      <c r="G262" s="1465"/>
      <c r="H262" s="1465"/>
      <c r="I262" s="1465"/>
      <c r="J262" s="1465"/>
      <c r="K262" s="1465"/>
      <c r="L262" s="1465"/>
      <c r="M262" s="1465"/>
      <c r="N262" s="1465"/>
      <c r="O262" s="1465"/>
      <c r="P262" s="1466"/>
    </row>
    <row r="263" spans="2:16" ht="13.5" thickBot="1" x14ac:dyDescent="0.25">
      <c r="B263" s="30" t="s">
        <v>107</v>
      </c>
      <c r="C263" s="416">
        <f t="shared" si="214"/>
        <v>0</v>
      </c>
      <c r="D263" s="423">
        <f>IF(C245=0,0,SUM(E263:P263))</f>
        <v>0</v>
      </c>
      <c r="E263" s="453">
        <f t="shared" ref="E263:P263" si="215">SUM(E251:E262)</f>
        <v>0</v>
      </c>
      <c r="F263" s="453">
        <f t="shared" si="215"/>
        <v>0</v>
      </c>
      <c r="G263" s="453">
        <f t="shared" si="215"/>
        <v>0</v>
      </c>
      <c r="H263" s="453">
        <f t="shared" si="215"/>
        <v>0</v>
      </c>
      <c r="I263" s="453">
        <f t="shared" si="215"/>
        <v>0</v>
      </c>
      <c r="J263" s="453">
        <f t="shared" si="215"/>
        <v>0</v>
      </c>
      <c r="K263" s="453">
        <f t="shared" si="215"/>
        <v>0</v>
      </c>
      <c r="L263" s="453">
        <f t="shared" si="215"/>
        <v>0</v>
      </c>
      <c r="M263" s="453">
        <f>SUM(M251:M262)</f>
        <v>0</v>
      </c>
      <c r="N263" s="453">
        <f t="shared" si="215"/>
        <v>0</v>
      </c>
      <c r="O263" s="453">
        <f t="shared" si="215"/>
        <v>0</v>
      </c>
      <c r="P263" s="453">
        <f t="shared" si="215"/>
        <v>0</v>
      </c>
    </row>
    <row r="264" spans="2:16" ht="13.5" thickBot="1" x14ac:dyDescent="0.25"/>
    <row r="265" spans="2:16" ht="24" thickBot="1" x14ac:dyDescent="0.4">
      <c r="B265" s="735" t="str">
        <f>'2.2 Rysäpyynti'!R4</f>
        <v>PU-rysä1</v>
      </c>
      <c r="C265" s="736"/>
      <c r="D265" s="737" t="str">
        <f>'2.2 Rysäpyynti'!S4</f>
        <v>Syksy</v>
      </c>
      <c r="E265" s="377"/>
      <c r="F265" s="377"/>
      <c r="G265" s="377"/>
      <c r="H265" s="377"/>
      <c r="I265" s="734"/>
    </row>
    <row r="266" spans="2:16" ht="24" thickBot="1" x14ac:dyDescent="0.4">
      <c r="B266" s="39"/>
      <c r="C266" s="39"/>
      <c r="D266" s="43"/>
    </row>
    <row r="267" spans="2:16" ht="24" thickBot="1" x14ac:dyDescent="0.4">
      <c r="B267" s="30" t="s">
        <v>39</v>
      </c>
      <c r="C267" s="446">
        <f>'2.2 Rysäpyynti'!U6</f>
        <v>0</v>
      </c>
      <c r="D267" s="8" t="s">
        <v>15</v>
      </c>
      <c r="E267" s="41"/>
      <c r="F267" s="42"/>
      <c r="G267" s="8" t="s">
        <v>5</v>
      </c>
      <c r="H267" s="10"/>
      <c r="I267" s="18"/>
      <c r="J267" s="18"/>
      <c r="K267" s="18"/>
      <c r="L267" s="10"/>
    </row>
    <row r="268" spans="2:16" ht="13.5" thickBot="1" x14ac:dyDescent="0.25">
      <c r="B268" s="30" t="s">
        <v>2</v>
      </c>
      <c r="C268" s="1134" t="str">
        <f>IF(C267=0,"0",'2.2 Rysäpyynti'!S10)</f>
        <v>0</v>
      </c>
      <c r="D268" s="8" t="s">
        <v>4</v>
      </c>
      <c r="E268" s="10"/>
      <c r="F268" s="455">
        <f>'2.2 Rysäpyynti'!U11</f>
        <v>0</v>
      </c>
      <c r="G268" s="8" t="s">
        <v>6</v>
      </c>
      <c r="H268" s="18"/>
      <c r="I268" s="41"/>
      <c r="J268" s="18"/>
      <c r="K268" s="10"/>
      <c r="L268" s="446">
        <f>IF(C267=0,0,'2.2 Rysäpyynti'!S13)</f>
        <v>0</v>
      </c>
    </row>
    <row r="269" spans="2:16" ht="13.5" thickBot="1" x14ac:dyDescent="0.25">
      <c r="B269" s="30" t="s">
        <v>3</v>
      </c>
      <c r="C269" s="1134" t="str">
        <f>IF(C267=0,"0",'2.2 Rysäpyynti'!S11)</f>
        <v>0</v>
      </c>
      <c r="D269" s="8" t="s">
        <v>38</v>
      </c>
      <c r="E269" s="10"/>
      <c r="F269" s="456">
        <f>F268/30</f>
        <v>0</v>
      </c>
      <c r="G269" s="40" t="s">
        <v>26</v>
      </c>
      <c r="H269" s="14"/>
      <c r="I269" s="14"/>
      <c r="J269" s="14"/>
      <c r="K269" s="17"/>
      <c r="L269" s="457">
        <f>'2.2 Rysäpyynti'!U13</f>
        <v>0</v>
      </c>
    </row>
    <row r="270" spans="2:16" ht="13.5" thickBot="1" x14ac:dyDescent="0.25">
      <c r="B270" s="34"/>
      <c r="C270" s="34"/>
      <c r="D270" s="45"/>
      <c r="E270" s="34"/>
      <c r="G270" s="46"/>
      <c r="H270" s="34"/>
      <c r="M270" s="34"/>
    </row>
    <row r="271" spans="2:16" ht="13.5" thickBot="1" x14ac:dyDescent="0.25">
      <c r="B271" s="5" t="s">
        <v>73</v>
      </c>
      <c r="C271" s="51" t="s">
        <v>46</v>
      </c>
      <c r="D271" s="52" t="s">
        <v>40</v>
      </c>
      <c r="E271" s="47"/>
      <c r="F271" s="48"/>
      <c r="G271" s="48"/>
      <c r="H271" s="48"/>
      <c r="I271" s="48"/>
      <c r="J271" s="41" t="s">
        <v>42</v>
      </c>
      <c r="K271" s="48"/>
      <c r="L271" s="48"/>
      <c r="M271" s="48"/>
      <c r="N271" s="48"/>
      <c r="O271" s="48"/>
      <c r="P271" s="49"/>
    </row>
    <row r="272" spans="2:16" ht="13.5" thickBot="1" x14ac:dyDescent="0.25">
      <c r="B272" s="28"/>
      <c r="C272" s="69" t="s">
        <v>47</v>
      </c>
      <c r="D272" s="55" t="s">
        <v>41</v>
      </c>
      <c r="E272" s="80">
        <v>1</v>
      </c>
      <c r="F272" s="33">
        <v>2</v>
      </c>
      <c r="G272" s="33">
        <v>3</v>
      </c>
      <c r="H272" s="33">
        <v>4</v>
      </c>
      <c r="I272" s="33">
        <v>5</v>
      </c>
      <c r="J272" s="33">
        <v>6</v>
      </c>
      <c r="K272" s="33">
        <v>7</v>
      </c>
      <c r="L272" s="33">
        <v>8</v>
      </c>
      <c r="M272" s="33">
        <v>9</v>
      </c>
      <c r="N272" s="33">
        <v>10</v>
      </c>
      <c r="O272" s="33">
        <v>11</v>
      </c>
      <c r="P272" s="79">
        <v>12</v>
      </c>
    </row>
    <row r="273" spans="2:16" x14ac:dyDescent="0.2">
      <c r="B273" s="5" t="s">
        <v>100</v>
      </c>
      <c r="C273" s="544">
        <f>IF(D273=0,0,D273/$L$269)</f>
        <v>0</v>
      </c>
      <c r="D273" s="449">
        <f>IF(C267=0,0,SUM(E273:P273))</f>
        <v>0</v>
      </c>
      <c r="E273" s="1455"/>
      <c r="F273" s="1456"/>
      <c r="G273" s="1456"/>
      <c r="H273" s="1456"/>
      <c r="I273" s="1456"/>
      <c r="J273" s="1456"/>
      <c r="K273" s="1456"/>
      <c r="L273" s="1456"/>
      <c r="M273" s="1456"/>
      <c r="N273" s="1456"/>
      <c r="O273" s="1456"/>
      <c r="P273" s="1457"/>
    </row>
    <row r="274" spans="2:16" x14ac:dyDescent="0.2">
      <c r="B274" s="57" t="s">
        <v>108</v>
      </c>
      <c r="C274" s="501">
        <f t="shared" ref="C274:C285" si="216">IF(D274=0,0,D274/$L$269)</f>
        <v>0</v>
      </c>
      <c r="D274" s="450">
        <f>IF(C267=0,0,SUM(E274:P274))</f>
        <v>0</v>
      </c>
      <c r="E274" s="1458"/>
      <c r="F274" s="1459"/>
      <c r="G274" s="1459"/>
      <c r="H274" s="1459"/>
      <c r="I274" s="1459"/>
      <c r="J274" s="1459"/>
      <c r="K274" s="1459"/>
      <c r="L274" s="1459"/>
      <c r="M274" s="1459"/>
      <c r="N274" s="1459"/>
      <c r="O274" s="1459"/>
      <c r="P274" s="1460"/>
    </row>
    <row r="275" spans="2:16" x14ac:dyDescent="0.2">
      <c r="B275" s="57" t="s">
        <v>101</v>
      </c>
      <c r="C275" s="450">
        <f t="shared" si="216"/>
        <v>0</v>
      </c>
      <c r="D275" s="439">
        <f>IF(C267=0,0,SUM(E275:P275))</f>
        <v>0</v>
      </c>
      <c r="E275" s="1458"/>
      <c r="F275" s="1459"/>
      <c r="G275" s="1459"/>
      <c r="H275" s="1459"/>
      <c r="I275" s="1459"/>
      <c r="J275" s="1459"/>
      <c r="K275" s="1459"/>
      <c r="L275" s="1459"/>
      <c r="M275" s="1459"/>
      <c r="N275" s="1459"/>
      <c r="O275" s="1459"/>
      <c r="P275" s="1460"/>
    </row>
    <row r="276" spans="2:16" x14ac:dyDescent="0.2">
      <c r="B276" s="57" t="s">
        <v>102</v>
      </c>
      <c r="C276" s="450">
        <f t="shared" si="216"/>
        <v>0</v>
      </c>
      <c r="D276" s="439">
        <f>IF(C267=0,0,SUM(E276:P276))</f>
        <v>0</v>
      </c>
      <c r="E276" s="1461"/>
      <c r="F276" s="1462"/>
      <c r="G276" s="1462"/>
      <c r="H276" s="1462"/>
      <c r="I276" s="1462"/>
      <c r="J276" s="1462"/>
      <c r="K276" s="1462"/>
      <c r="L276" s="1462"/>
      <c r="M276" s="1462"/>
      <c r="N276" s="1462"/>
      <c r="O276" s="1462"/>
      <c r="P276" s="1463"/>
    </row>
    <row r="277" spans="2:16" x14ac:dyDescent="0.2">
      <c r="B277" s="57" t="s">
        <v>103</v>
      </c>
      <c r="C277" s="450">
        <f t="shared" si="216"/>
        <v>0</v>
      </c>
      <c r="D277" s="439">
        <f>IF(C267=0,0,SUM(E277:P277))</f>
        <v>0</v>
      </c>
      <c r="E277" s="1461"/>
      <c r="F277" s="1462"/>
      <c r="G277" s="1462"/>
      <c r="H277" s="1462"/>
      <c r="I277" s="1462"/>
      <c r="J277" s="1462"/>
      <c r="K277" s="1462"/>
      <c r="L277" s="1462"/>
      <c r="M277" s="1462"/>
      <c r="N277" s="1462"/>
      <c r="O277" s="1462"/>
      <c r="P277" s="1463"/>
    </row>
    <row r="278" spans="2:16" x14ac:dyDescent="0.2">
      <c r="B278" s="57" t="s">
        <v>104</v>
      </c>
      <c r="C278" s="450">
        <f t="shared" si="216"/>
        <v>0</v>
      </c>
      <c r="D278" s="439">
        <f>IF(C267=0,0,SUM(E278:P278))</f>
        <v>0</v>
      </c>
      <c r="E278" s="1461"/>
      <c r="F278" s="1462"/>
      <c r="G278" s="1462"/>
      <c r="H278" s="1462"/>
      <c r="I278" s="1462"/>
      <c r="J278" s="1462"/>
      <c r="K278" s="1462"/>
      <c r="L278" s="1462"/>
      <c r="M278" s="1462"/>
      <c r="N278" s="1462"/>
      <c r="O278" s="1462"/>
      <c r="P278" s="1463"/>
    </row>
    <row r="279" spans="2:16" x14ac:dyDescent="0.2">
      <c r="B279" s="57" t="s">
        <v>105</v>
      </c>
      <c r="C279" s="450">
        <f t="shared" si="216"/>
        <v>0</v>
      </c>
      <c r="D279" s="439">
        <f>IF(C267=0,0,SUM(E279:P279))</f>
        <v>0</v>
      </c>
      <c r="E279" s="1461"/>
      <c r="F279" s="1462"/>
      <c r="G279" s="1462"/>
      <c r="H279" s="1462"/>
      <c r="I279" s="1462"/>
      <c r="J279" s="1462"/>
      <c r="K279" s="1462"/>
      <c r="L279" s="1462"/>
      <c r="M279" s="1462"/>
      <c r="N279" s="1462"/>
      <c r="O279" s="1462"/>
      <c r="P279" s="1463"/>
    </row>
    <row r="280" spans="2:16" x14ac:dyDescent="0.2">
      <c r="B280" s="57" t="s">
        <v>106</v>
      </c>
      <c r="C280" s="450">
        <f t="shared" si="216"/>
        <v>0</v>
      </c>
      <c r="D280" s="439">
        <f>IF(C267=0,0,SUM(E280:P280))</f>
        <v>0</v>
      </c>
      <c r="E280" s="1461"/>
      <c r="F280" s="1462"/>
      <c r="G280" s="1462"/>
      <c r="H280" s="1462"/>
      <c r="I280" s="1462"/>
      <c r="J280" s="1462"/>
      <c r="K280" s="1462"/>
      <c r="L280" s="1462"/>
      <c r="M280" s="1462"/>
      <c r="N280" s="1462"/>
      <c r="O280" s="1462"/>
      <c r="P280" s="1463"/>
    </row>
    <row r="281" spans="2:16" x14ac:dyDescent="0.2">
      <c r="B281" s="57" t="s">
        <v>37</v>
      </c>
      <c r="C281" s="450">
        <f t="shared" si="216"/>
        <v>0</v>
      </c>
      <c r="D281" s="439">
        <f>IF(C267=0,0,SUM(E281:P281))</f>
        <v>0</v>
      </c>
      <c r="E281" s="1461"/>
      <c r="F281" s="1462"/>
      <c r="G281" s="1462"/>
      <c r="H281" s="1462"/>
      <c r="I281" s="1462"/>
      <c r="J281" s="1462"/>
      <c r="K281" s="1462"/>
      <c r="L281" s="1462"/>
      <c r="M281" s="1462"/>
      <c r="N281" s="1462"/>
      <c r="O281" s="1462"/>
      <c r="P281" s="1463"/>
    </row>
    <row r="282" spans="2:16" x14ac:dyDescent="0.2">
      <c r="B282" s="57" t="s">
        <v>36</v>
      </c>
      <c r="C282" s="450">
        <f t="shared" si="216"/>
        <v>0</v>
      </c>
      <c r="D282" s="439">
        <f>IF(C267=0,0,SUM(E282:P282))</f>
        <v>0</v>
      </c>
      <c r="E282" s="1464"/>
      <c r="F282" s="1465"/>
      <c r="G282" s="1465"/>
      <c r="H282" s="1465"/>
      <c r="I282" s="1465"/>
      <c r="J282" s="1465"/>
      <c r="K282" s="1465"/>
      <c r="L282" s="1465"/>
      <c r="M282" s="1465"/>
      <c r="N282" s="1465"/>
      <c r="O282" s="1465"/>
      <c r="P282" s="1466"/>
    </row>
    <row r="283" spans="2:16" x14ac:dyDescent="0.2">
      <c r="B283" s="57" t="s">
        <v>94</v>
      </c>
      <c r="C283" s="450">
        <f t="shared" si="216"/>
        <v>0</v>
      </c>
      <c r="D283" s="486">
        <f>IF(C267=0,0,SUM(E283:P283))</f>
        <v>0</v>
      </c>
      <c r="E283" s="1464"/>
      <c r="F283" s="1465"/>
      <c r="G283" s="1465"/>
      <c r="H283" s="1465"/>
      <c r="I283" s="1465"/>
      <c r="J283" s="1465"/>
      <c r="K283" s="1465"/>
      <c r="L283" s="1465"/>
      <c r="M283" s="1465"/>
      <c r="N283" s="1465"/>
      <c r="O283" s="1465"/>
      <c r="P283" s="1466"/>
    </row>
    <row r="284" spans="2:16" ht="13.5" thickBot="1" x14ac:dyDescent="0.25">
      <c r="B284" s="40" t="s">
        <v>93</v>
      </c>
      <c r="C284" s="498">
        <f t="shared" si="216"/>
        <v>0</v>
      </c>
      <c r="D284" s="512">
        <f>IF(C267=0,0,SUM(E284:P284))</f>
        <v>0</v>
      </c>
      <c r="E284" s="1464"/>
      <c r="F284" s="1465"/>
      <c r="G284" s="1465"/>
      <c r="H284" s="1465"/>
      <c r="I284" s="1465"/>
      <c r="J284" s="1465"/>
      <c r="K284" s="1465"/>
      <c r="L284" s="1465"/>
      <c r="M284" s="1465"/>
      <c r="N284" s="1465"/>
      <c r="O284" s="1465"/>
      <c r="P284" s="1466"/>
    </row>
    <row r="285" spans="2:16" ht="13.5" thickBot="1" x14ac:dyDescent="0.25">
      <c r="B285" s="30" t="s">
        <v>107</v>
      </c>
      <c r="C285" s="416">
        <f t="shared" si="216"/>
        <v>0</v>
      </c>
      <c r="D285" s="423">
        <f>IF(C267=0,0,SUM(E285:P285))</f>
        <v>0</v>
      </c>
      <c r="E285" s="453">
        <f t="shared" ref="E285:P285" si="217">SUM(E273:E284)</f>
        <v>0</v>
      </c>
      <c r="F285" s="453">
        <f t="shared" si="217"/>
        <v>0</v>
      </c>
      <c r="G285" s="453">
        <f t="shared" si="217"/>
        <v>0</v>
      </c>
      <c r="H285" s="453">
        <f t="shared" si="217"/>
        <v>0</v>
      </c>
      <c r="I285" s="453">
        <f t="shared" si="217"/>
        <v>0</v>
      </c>
      <c r="J285" s="453">
        <f t="shared" si="217"/>
        <v>0</v>
      </c>
      <c r="K285" s="453">
        <f t="shared" si="217"/>
        <v>0</v>
      </c>
      <c r="L285" s="453">
        <f t="shared" si="217"/>
        <v>0</v>
      </c>
      <c r="M285" s="453">
        <f t="shared" si="217"/>
        <v>0</v>
      </c>
      <c r="N285" s="453">
        <f t="shared" si="217"/>
        <v>0</v>
      </c>
      <c r="O285" s="453">
        <f t="shared" si="217"/>
        <v>0</v>
      </c>
      <c r="P285" s="453">
        <f t="shared" si="217"/>
        <v>0</v>
      </c>
    </row>
    <row r="286" spans="2:16" ht="13.5" thickBot="1" x14ac:dyDescent="0.25"/>
    <row r="287" spans="2:16" ht="24" thickBot="1" x14ac:dyDescent="0.4">
      <c r="B287" s="735" t="str">
        <f>'2.2 Rysäpyynti'!K105</f>
        <v>PU-rysä2</v>
      </c>
      <c r="C287" s="736"/>
      <c r="D287" s="737" t="str">
        <f>'2.2 Rysäpyynti'!L105</f>
        <v>Kevät</v>
      </c>
      <c r="E287" s="377"/>
      <c r="F287" s="377"/>
      <c r="G287" s="377"/>
      <c r="H287" s="377"/>
      <c r="I287" s="734"/>
    </row>
    <row r="288" spans="2:16" ht="24" thickBot="1" x14ac:dyDescent="0.4">
      <c r="B288" s="39"/>
      <c r="C288" s="39"/>
      <c r="D288" s="43"/>
    </row>
    <row r="289" spans="2:16" ht="24" thickBot="1" x14ac:dyDescent="0.4">
      <c r="B289" s="30" t="s">
        <v>39</v>
      </c>
      <c r="C289" s="446">
        <f>'2.2 Rysäpyynti'!N107</f>
        <v>0</v>
      </c>
      <c r="D289" s="8" t="s">
        <v>15</v>
      </c>
      <c r="E289" s="41"/>
      <c r="F289" s="42"/>
      <c r="G289" s="8" t="s">
        <v>5</v>
      </c>
      <c r="H289" s="10"/>
      <c r="I289" s="18"/>
      <c r="J289" s="18"/>
      <c r="K289" s="18"/>
      <c r="L289" s="10"/>
    </row>
    <row r="290" spans="2:16" ht="13.5" thickBot="1" x14ac:dyDescent="0.25">
      <c r="B290" s="30" t="s">
        <v>2</v>
      </c>
      <c r="C290" s="1134" t="str">
        <f>IF(C289=0,"0",'2.2 Rysäpyynti'!L111)</f>
        <v>0</v>
      </c>
      <c r="D290" s="8" t="s">
        <v>4</v>
      </c>
      <c r="E290" s="10"/>
      <c r="F290" s="455">
        <f>'2.2 Rysäpyynti'!N112</f>
        <v>0</v>
      </c>
      <c r="G290" s="8" t="s">
        <v>6</v>
      </c>
      <c r="H290" s="18"/>
      <c r="I290" s="41"/>
      <c r="J290" s="18"/>
      <c r="K290" s="10"/>
      <c r="L290" s="446">
        <f>IF(C289=0,0,'2.2 Rysäpyynti'!L114)</f>
        <v>0</v>
      </c>
    </row>
    <row r="291" spans="2:16" ht="13.5" thickBot="1" x14ac:dyDescent="0.25">
      <c r="B291" s="30" t="s">
        <v>3</v>
      </c>
      <c r="C291" s="1134" t="str">
        <f>IF(C289=0,"0",'2.2 Rysäpyynti'!L112)</f>
        <v>0</v>
      </c>
      <c r="D291" s="8" t="s">
        <v>38</v>
      </c>
      <c r="E291" s="10"/>
      <c r="F291" s="456">
        <f>F290/30</f>
        <v>0</v>
      </c>
      <c r="G291" s="40" t="s">
        <v>26</v>
      </c>
      <c r="H291" s="14"/>
      <c r="I291" s="14"/>
      <c r="J291" s="14"/>
      <c r="K291" s="17"/>
      <c r="L291" s="457">
        <f>'2.2 Rysäpyynti'!N114</f>
        <v>0</v>
      </c>
    </row>
    <row r="292" spans="2:16" ht="13.5" thickBot="1" x14ac:dyDescent="0.25">
      <c r="B292" s="34"/>
      <c r="C292" s="34"/>
      <c r="D292" s="45"/>
      <c r="E292" s="34"/>
      <c r="G292" s="35"/>
      <c r="H292" s="34"/>
    </row>
    <row r="293" spans="2:16" ht="13.5" thickBot="1" x14ac:dyDescent="0.25">
      <c r="B293" s="5" t="s">
        <v>73</v>
      </c>
      <c r="C293" s="51" t="s">
        <v>46</v>
      </c>
      <c r="D293" s="81" t="s">
        <v>40</v>
      </c>
      <c r="E293" s="47"/>
      <c r="F293" s="48"/>
      <c r="G293" s="48"/>
      <c r="H293" s="48"/>
      <c r="I293" s="48"/>
      <c r="J293" s="41" t="s">
        <v>42</v>
      </c>
      <c r="K293" s="48"/>
      <c r="L293" s="48"/>
      <c r="M293" s="48"/>
      <c r="N293" s="48"/>
      <c r="O293" s="48"/>
      <c r="P293" s="49"/>
    </row>
    <row r="294" spans="2:16" ht="13.5" thickBot="1" x14ac:dyDescent="0.25">
      <c r="B294" s="28"/>
      <c r="C294" s="69" t="s">
        <v>47</v>
      </c>
      <c r="D294" s="55" t="s">
        <v>41</v>
      </c>
      <c r="E294" s="76">
        <v>1</v>
      </c>
      <c r="F294" s="33">
        <v>2</v>
      </c>
      <c r="G294" s="96">
        <v>3</v>
      </c>
      <c r="H294" s="96">
        <v>4</v>
      </c>
      <c r="I294" s="96">
        <v>5</v>
      </c>
      <c r="J294" s="96">
        <v>6</v>
      </c>
      <c r="K294" s="96">
        <v>7</v>
      </c>
      <c r="L294" s="96">
        <v>8</v>
      </c>
      <c r="M294" s="96">
        <v>9</v>
      </c>
      <c r="N294" s="96">
        <v>10</v>
      </c>
      <c r="O294" s="96">
        <v>11</v>
      </c>
      <c r="P294" s="97">
        <v>12</v>
      </c>
    </row>
    <row r="295" spans="2:16" x14ac:dyDescent="0.2">
      <c r="B295" s="5" t="s">
        <v>100</v>
      </c>
      <c r="C295" s="544">
        <f t="shared" ref="C295:C307" si="218">IF(D295=0,0,D295/$L$291)</f>
        <v>0</v>
      </c>
      <c r="D295" s="449">
        <f>IF(C289=0,0,SUM(E295:P295))</f>
        <v>0</v>
      </c>
      <c r="E295" s="1455"/>
      <c r="F295" s="1456"/>
      <c r="G295" s="1456"/>
      <c r="H295" s="1456"/>
      <c r="I295" s="1456"/>
      <c r="J295" s="1456"/>
      <c r="K295" s="1456"/>
      <c r="L295" s="1456"/>
      <c r="M295" s="1456"/>
      <c r="N295" s="1456"/>
      <c r="O295" s="1456"/>
      <c r="P295" s="1457"/>
    </row>
    <row r="296" spans="2:16" x14ac:dyDescent="0.2">
      <c r="B296" s="57" t="s">
        <v>108</v>
      </c>
      <c r="C296" s="501">
        <f t="shared" si="218"/>
        <v>0</v>
      </c>
      <c r="D296" s="450">
        <f>IF(C289=0,0,SUM(E296:P296))</f>
        <v>0</v>
      </c>
      <c r="E296" s="1458"/>
      <c r="F296" s="1459"/>
      <c r="G296" s="1459"/>
      <c r="H296" s="1459"/>
      <c r="I296" s="1459"/>
      <c r="J296" s="1459"/>
      <c r="K296" s="1459"/>
      <c r="L296" s="1459"/>
      <c r="M296" s="1459"/>
      <c r="N296" s="1459"/>
      <c r="O296" s="1459"/>
      <c r="P296" s="1460"/>
    </row>
    <row r="297" spans="2:16" x14ac:dyDescent="0.2">
      <c r="B297" s="57" t="s">
        <v>101</v>
      </c>
      <c r="C297" s="450">
        <f t="shared" si="218"/>
        <v>0</v>
      </c>
      <c r="D297" s="439">
        <f>IF(C289=0,0,SUM(E297:P297))</f>
        <v>0</v>
      </c>
      <c r="E297" s="1458"/>
      <c r="F297" s="1459"/>
      <c r="G297" s="1459"/>
      <c r="H297" s="1459"/>
      <c r="I297" s="1459"/>
      <c r="J297" s="1459"/>
      <c r="K297" s="1459"/>
      <c r="L297" s="1459"/>
      <c r="M297" s="1459"/>
      <c r="N297" s="1459"/>
      <c r="O297" s="1459"/>
      <c r="P297" s="1460"/>
    </row>
    <row r="298" spans="2:16" x14ac:dyDescent="0.2">
      <c r="B298" s="57" t="s">
        <v>102</v>
      </c>
      <c r="C298" s="450">
        <f t="shared" si="218"/>
        <v>0</v>
      </c>
      <c r="D298" s="439">
        <f>IF(C289=0,0,SUM(E298:P298))</f>
        <v>0</v>
      </c>
      <c r="E298" s="1461"/>
      <c r="F298" s="1462"/>
      <c r="G298" s="1462"/>
      <c r="H298" s="1462"/>
      <c r="I298" s="1462"/>
      <c r="J298" s="1462"/>
      <c r="K298" s="1462"/>
      <c r="L298" s="1462"/>
      <c r="M298" s="1462"/>
      <c r="N298" s="1462"/>
      <c r="O298" s="1462"/>
      <c r="P298" s="1463"/>
    </row>
    <row r="299" spans="2:16" x14ac:dyDescent="0.2">
      <c r="B299" s="57" t="s">
        <v>103</v>
      </c>
      <c r="C299" s="450">
        <f t="shared" si="218"/>
        <v>0</v>
      </c>
      <c r="D299" s="439">
        <f>IF(C289=0,0,SUM(E299:P299))</f>
        <v>0</v>
      </c>
      <c r="E299" s="1461"/>
      <c r="F299" s="1462"/>
      <c r="G299" s="1462"/>
      <c r="H299" s="1462"/>
      <c r="I299" s="1462"/>
      <c r="J299" s="1462"/>
      <c r="K299" s="1462"/>
      <c r="L299" s="1462"/>
      <c r="M299" s="1462"/>
      <c r="N299" s="1462"/>
      <c r="O299" s="1462"/>
      <c r="P299" s="1463"/>
    </row>
    <row r="300" spans="2:16" x14ac:dyDescent="0.2">
      <c r="B300" s="57" t="s">
        <v>104</v>
      </c>
      <c r="C300" s="450">
        <f t="shared" si="218"/>
        <v>0</v>
      </c>
      <c r="D300" s="439">
        <f>IF(C289=0,0,SUM(E300:P300))</f>
        <v>0</v>
      </c>
      <c r="E300" s="1461"/>
      <c r="F300" s="1462"/>
      <c r="G300" s="1462"/>
      <c r="H300" s="1462"/>
      <c r="I300" s="1462"/>
      <c r="J300" s="1462"/>
      <c r="K300" s="1462"/>
      <c r="L300" s="1462"/>
      <c r="M300" s="1462"/>
      <c r="N300" s="1462"/>
      <c r="O300" s="1462"/>
      <c r="P300" s="1463"/>
    </row>
    <row r="301" spans="2:16" x14ac:dyDescent="0.2">
      <c r="B301" s="57" t="s">
        <v>105</v>
      </c>
      <c r="C301" s="450">
        <f t="shared" si="218"/>
        <v>0</v>
      </c>
      <c r="D301" s="439">
        <f>IF(C289=0,0,SUM(E301:P301))</f>
        <v>0</v>
      </c>
      <c r="E301" s="1461"/>
      <c r="F301" s="1462"/>
      <c r="G301" s="1462"/>
      <c r="H301" s="1462"/>
      <c r="I301" s="1462"/>
      <c r="J301" s="1462"/>
      <c r="K301" s="1462"/>
      <c r="L301" s="1462"/>
      <c r="M301" s="1462"/>
      <c r="N301" s="1462"/>
      <c r="O301" s="1462"/>
      <c r="P301" s="1463"/>
    </row>
    <row r="302" spans="2:16" x14ac:dyDescent="0.2">
      <c r="B302" s="57" t="s">
        <v>106</v>
      </c>
      <c r="C302" s="450">
        <f t="shared" si="218"/>
        <v>0</v>
      </c>
      <c r="D302" s="439">
        <f>IF(C289=0,0,SUM(E302:P302))</f>
        <v>0</v>
      </c>
      <c r="E302" s="1461"/>
      <c r="F302" s="1462"/>
      <c r="G302" s="1462"/>
      <c r="H302" s="1462"/>
      <c r="I302" s="1462"/>
      <c r="J302" s="1462"/>
      <c r="K302" s="1462"/>
      <c r="L302" s="1462"/>
      <c r="M302" s="1462"/>
      <c r="N302" s="1462"/>
      <c r="O302" s="1462"/>
      <c r="P302" s="1463"/>
    </row>
    <row r="303" spans="2:16" x14ac:dyDescent="0.2">
      <c r="B303" s="57" t="s">
        <v>37</v>
      </c>
      <c r="C303" s="450">
        <f t="shared" si="218"/>
        <v>0</v>
      </c>
      <c r="D303" s="439">
        <f>IF(C289=0,0,SUM(E303:P303))</f>
        <v>0</v>
      </c>
      <c r="E303" s="1461"/>
      <c r="F303" s="1462"/>
      <c r="G303" s="1462"/>
      <c r="H303" s="1462"/>
      <c r="I303" s="1462"/>
      <c r="J303" s="1462"/>
      <c r="K303" s="1462"/>
      <c r="L303" s="1462"/>
      <c r="M303" s="1462"/>
      <c r="N303" s="1462"/>
      <c r="O303" s="1462"/>
      <c r="P303" s="1463"/>
    </row>
    <row r="304" spans="2:16" x14ac:dyDescent="0.2">
      <c r="B304" s="57" t="s">
        <v>36</v>
      </c>
      <c r="C304" s="450">
        <f t="shared" si="218"/>
        <v>0</v>
      </c>
      <c r="D304" s="439">
        <f>IF(C289=0,0,SUM(E304:P304))</f>
        <v>0</v>
      </c>
      <c r="E304" s="1464"/>
      <c r="F304" s="1465"/>
      <c r="G304" s="1465"/>
      <c r="H304" s="1465"/>
      <c r="I304" s="1465"/>
      <c r="J304" s="1465"/>
      <c r="K304" s="1465"/>
      <c r="L304" s="1465"/>
      <c r="M304" s="1465"/>
      <c r="N304" s="1465"/>
      <c r="O304" s="1465"/>
      <c r="P304" s="1466"/>
    </row>
    <row r="305" spans="2:24" x14ac:dyDescent="0.2">
      <c r="B305" s="57" t="s">
        <v>94</v>
      </c>
      <c r="C305" s="450">
        <f t="shared" si="218"/>
        <v>0</v>
      </c>
      <c r="D305" s="486">
        <f>IF(C289=0,0,SUM(E305:P305))</f>
        <v>0</v>
      </c>
      <c r="E305" s="1464"/>
      <c r="F305" s="1465"/>
      <c r="G305" s="1465"/>
      <c r="H305" s="1465"/>
      <c r="I305" s="1465"/>
      <c r="J305" s="1465"/>
      <c r="K305" s="1465"/>
      <c r="L305" s="1465"/>
      <c r="M305" s="1465"/>
      <c r="N305" s="1465"/>
      <c r="O305" s="1465"/>
      <c r="P305" s="1466"/>
    </row>
    <row r="306" spans="2:24" ht="13.5" thickBot="1" x14ac:dyDescent="0.25">
      <c r="B306" s="40" t="s">
        <v>93</v>
      </c>
      <c r="C306" s="498">
        <f t="shared" si="218"/>
        <v>0</v>
      </c>
      <c r="D306" s="512">
        <f>IF(C289=0,0,SUM(E306:P306))</f>
        <v>0</v>
      </c>
      <c r="E306" s="1464"/>
      <c r="F306" s="1465"/>
      <c r="G306" s="1465"/>
      <c r="H306" s="1465"/>
      <c r="I306" s="1465"/>
      <c r="J306" s="1465"/>
      <c r="K306" s="1465"/>
      <c r="L306" s="1465"/>
      <c r="M306" s="1465"/>
      <c r="N306" s="1465"/>
      <c r="O306" s="1465"/>
      <c r="P306" s="1466"/>
    </row>
    <row r="307" spans="2:24" ht="13.5" thickBot="1" x14ac:dyDescent="0.25">
      <c r="B307" s="30" t="s">
        <v>107</v>
      </c>
      <c r="C307" s="416">
        <f t="shared" si="218"/>
        <v>0</v>
      </c>
      <c r="D307" s="423">
        <f>IF(C289=0,0,SUM(E307:P307))</f>
        <v>0</v>
      </c>
      <c r="E307" s="459">
        <f t="shared" ref="E307:P307" si="219">SUM(E295:E306)</f>
        <v>0</v>
      </c>
      <c r="F307" s="459">
        <f t="shared" si="219"/>
        <v>0</v>
      </c>
      <c r="G307" s="459">
        <f t="shared" si="219"/>
        <v>0</v>
      </c>
      <c r="H307" s="459">
        <f t="shared" si="219"/>
        <v>0</v>
      </c>
      <c r="I307" s="459">
        <f t="shared" si="219"/>
        <v>0</v>
      </c>
      <c r="J307" s="459">
        <f>SUM(J295:J306)</f>
        <v>0</v>
      </c>
      <c r="K307" s="459">
        <f t="shared" si="219"/>
        <v>0</v>
      </c>
      <c r="L307" s="459">
        <f t="shared" si="219"/>
        <v>0</v>
      </c>
      <c r="M307" s="459">
        <f t="shared" si="219"/>
        <v>0</v>
      </c>
      <c r="N307" s="459">
        <f t="shared" si="219"/>
        <v>0</v>
      </c>
      <c r="O307" s="459">
        <f t="shared" si="219"/>
        <v>0</v>
      </c>
      <c r="P307" s="459">
        <f t="shared" si="219"/>
        <v>0</v>
      </c>
    </row>
    <row r="308" spans="2:24" ht="13.5" thickBot="1" x14ac:dyDescent="0.25"/>
    <row r="309" spans="2:24" ht="24" thickBot="1" x14ac:dyDescent="0.4">
      <c r="B309" s="735" t="str">
        <f>'2.2 Rysäpyynti'!R105</f>
        <v>PU-rysä2</v>
      </c>
      <c r="C309" s="736"/>
      <c r="D309" s="737" t="str">
        <f>'2.2 Rysäpyynti'!S105</f>
        <v>Syksy</v>
      </c>
      <c r="E309" s="377"/>
      <c r="F309" s="377"/>
      <c r="G309" s="377"/>
      <c r="H309" s="377"/>
      <c r="I309" s="734"/>
    </row>
    <row r="310" spans="2:24" ht="24" thickBot="1" x14ac:dyDescent="0.4">
      <c r="B310" s="39"/>
      <c r="C310" s="39"/>
      <c r="D310" s="43"/>
    </row>
    <row r="311" spans="2:24" ht="24" thickBot="1" x14ac:dyDescent="0.4">
      <c r="B311" s="30" t="s">
        <v>39</v>
      </c>
      <c r="C311" s="446">
        <f>'2.2 Rysäpyynti'!U107</f>
        <v>0</v>
      </c>
      <c r="D311" s="8" t="s">
        <v>15</v>
      </c>
      <c r="E311" s="41"/>
      <c r="F311" s="42"/>
      <c r="G311" s="8" t="s">
        <v>5</v>
      </c>
      <c r="H311" s="10"/>
      <c r="I311" s="18"/>
      <c r="J311" s="18"/>
      <c r="K311" s="18"/>
      <c r="L311" s="10"/>
    </row>
    <row r="312" spans="2:24" ht="13.5" thickBot="1" x14ac:dyDescent="0.25">
      <c r="B312" s="30" t="s">
        <v>2</v>
      </c>
      <c r="C312" s="1134" t="str">
        <f>IF(C311=0,"0",'2.2 Rysäpyynti'!S111)</f>
        <v>0</v>
      </c>
      <c r="D312" s="8" t="s">
        <v>4</v>
      </c>
      <c r="E312" s="10"/>
      <c r="F312" s="455">
        <f>'2.2 Rysäpyynti'!U112</f>
        <v>0</v>
      </c>
      <c r="G312" s="8" t="s">
        <v>6</v>
      </c>
      <c r="H312" s="18"/>
      <c r="I312" s="41"/>
      <c r="J312" s="18"/>
      <c r="K312" s="10"/>
      <c r="L312" s="446">
        <f>IF(C311=0,0,'2.2 Rysäpyynti'!S114)</f>
        <v>0</v>
      </c>
      <c r="X312" s="27"/>
    </row>
    <row r="313" spans="2:24" ht="13.5" thickBot="1" x14ac:dyDescent="0.25">
      <c r="B313" s="30" t="s">
        <v>3</v>
      </c>
      <c r="C313" s="1134" t="str">
        <f>IF(C311=0,"0",'2.2 Rysäpyynti'!S112)</f>
        <v>0</v>
      </c>
      <c r="D313" s="8" t="s">
        <v>38</v>
      </c>
      <c r="E313" s="10"/>
      <c r="F313" s="456">
        <f>F312/30</f>
        <v>0</v>
      </c>
      <c r="G313" s="40" t="s">
        <v>26</v>
      </c>
      <c r="H313" s="14"/>
      <c r="I313" s="14"/>
      <c r="J313" s="14"/>
      <c r="K313" s="17"/>
      <c r="L313" s="457">
        <f>'2.2 Rysäpyynti'!U114</f>
        <v>0</v>
      </c>
    </row>
    <row r="314" spans="2:24" ht="13.5" thickBot="1" x14ac:dyDescent="0.25">
      <c r="B314" s="34"/>
      <c r="C314" s="34"/>
      <c r="D314" s="45"/>
      <c r="E314" s="34"/>
      <c r="G314" s="46"/>
      <c r="H314" s="34"/>
      <c r="M314" s="34"/>
    </row>
    <row r="315" spans="2:24" ht="13.5" thickBot="1" x14ac:dyDescent="0.25">
      <c r="B315" s="5" t="s">
        <v>73</v>
      </c>
      <c r="C315" s="51" t="s">
        <v>46</v>
      </c>
      <c r="D315" s="52" t="s">
        <v>40</v>
      </c>
      <c r="E315" s="47"/>
      <c r="F315" s="48"/>
      <c r="G315" s="48"/>
      <c r="H315" s="48"/>
      <c r="I315" s="48"/>
      <c r="J315" s="41" t="s">
        <v>42</v>
      </c>
      <c r="K315" s="48"/>
      <c r="L315" s="48"/>
      <c r="M315" s="48"/>
      <c r="N315" s="48"/>
      <c r="O315" s="48"/>
      <c r="P315" s="49"/>
    </row>
    <row r="316" spans="2:24" ht="13.5" thickBot="1" x14ac:dyDescent="0.25">
      <c r="B316" s="28"/>
      <c r="C316" s="69" t="s">
        <v>47</v>
      </c>
      <c r="D316" s="55" t="s">
        <v>41</v>
      </c>
      <c r="E316" s="80">
        <v>1</v>
      </c>
      <c r="F316" s="33">
        <v>2</v>
      </c>
      <c r="G316" s="33">
        <v>3</v>
      </c>
      <c r="H316" s="33">
        <v>4</v>
      </c>
      <c r="I316" s="33">
        <v>5</v>
      </c>
      <c r="J316" s="33">
        <v>6</v>
      </c>
      <c r="K316" s="33">
        <v>7</v>
      </c>
      <c r="L316" s="33">
        <v>8</v>
      </c>
      <c r="M316" s="33">
        <v>9</v>
      </c>
      <c r="N316" s="33">
        <v>10</v>
      </c>
      <c r="O316" s="33">
        <v>11</v>
      </c>
      <c r="P316" s="79">
        <v>12</v>
      </c>
    </row>
    <row r="317" spans="2:24" x14ac:dyDescent="0.2">
      <c r="B317" s="5" t="s">
        <v>100</v>
      </c>
      <c r="C317" s="544">
        <f t="shared" ref="C317:C329" si="220">IF(D317=0,0,D317/$L$313)</f>
        <v>0</v>
      </c>
      <c r="D317" s="449">
        <f>IF(C311=0,0,SUM(E317:P317))</f>
        <v>0</v>
      </c>
      <c r="E317" s="1455"/>
      <c r="F317" s="1456"/>
      <c r="G317" s="1456"/>
      <c r="H317" s="1456"/>
      <c r="I317" s="1456"/>
      <c r="J317" s="1456"/>
      <c r="K317" s="1456"/>
      <c r="L317" s="1456"/>
      <c r="M317" s="1456"/>
      <c r="N317" s="1456"/>
      <c r="O317" s="1456"/>
      <c r="P317" s="1457"/>
    </row>
    <row r="318" spans="2:24" x14ac:dyDescent="0.2">
      <c r="B318" s="57" t="s">
        <v>108</v>
      </c>
      <c r="C318" s="501">
        <f t="shared" si="220"/>
        <v>0</v>
      </c>
      <c r="D318" s="450">
        <f>IF(C311=0,0,SUM(E318:P318))</f>
        <v>0</v>
      </c>
      <c r="E318" s="1458"/>
      <c r="F318" s="1459"/>
      <c r="G318" s="1459"/>
      <c r="H318" s="1459"/>
      <c r="I318" s="1459"/>
      <c r="J318" s="1459"/>
      <c r="K318" s="1459"/>
      <c r="L318" s="1459"/>
      <c r="M318" s="1459"/>
      <c r="N318" s="1459"/>
      <c r="O318" s="1459"/>
      <c r="P318" s="1460"/>
    </row>
    <row r="319" spans="2:24" x14ac:dyDescent="0.2">
      <c r="B319" s="57" t="s">
        <v>101</v>
      </c>
      <c r="C319" s="450">
        <f t="shared" si="220"/>
        <v>0</v>
      </c>
      <c r="D319" s="439">
        <f>IF(C311=0,0,SUM(E319:P319))</f>
        <v>0</v>
      </c>
      <c r="E319" s="1458"/>
      <c r="F319" s="1459"/>
      <c r="G319" s="1459"/>
      <c r="H319" s="1459"/>
      <c r="I319" s="1459"/>
      <c r="J319" s="1459"/>
      <c r="K319" s="1459"/>
      <c r="L319" s="1459"/>
      <c r="M319" s="1459"/>
      <c r="N319" s="1459"/>
      <c r="O319" s="1459"/>
      <c r="P319" s="1460"/>
    </row>
    <row r="320" spans="2:24" x14ac:dyDescent="0.2">
      <c r="B320" s="57" t="s">
        <v>102</v>
      </c>
      <c r="C320" s="450">
        <f t="shared" si="220"/>
        <v>0</v>
      </c>
      <c r="D320" s="439">
        <f>IF(C311=0,0,SUM(E320:P320))</f>
        <v>0</v>
      </c>
      <c r="E320" s="1461"/>
      <c r="F320" s="1462"/>
      <c r="G320" s="1462"/>
      <c r="H320" s="1462"/>
      <c r="I320" s="1462"/>
      <c r="J320" s="1462"/>
      <c r="K320" s="1462"/>
      <c r="L320" s="1462"/>
      <c r="M320" s="1462"/>
      <c r="N320" s="1462"/>
      <c r="O320" s="1462"/>
      <c r="P320" s="1463"/>
    </row>
    <row r="321" spans="2:16" x14ac:dyDescent="0.2">
      <c r="B321" s="57" t="s">
        <v>103</v>
      </c>
      <c r="C321" s="450">
        <f t="shared" si="220"/>
        <v>0</v>
      </c>
      <c r="D321" s="439">
        <f>IF(C311=0,0,SUM(E321:P321))</f>
        <v>0</v>
      </c>
      <c r="E321" s="1461"/>
      <c r="F321" s="1462"/>
      <c r="G321" s="1462"/>
      <c r="H321" s="1462"/>
      <c r="I321" s="1462"/>
      <c r="J321" s="1462"/>
      <c r="K321" s="1462"/>
      <c r="L321" s="1462"/>
      <c r="M321" s="1462"/>
      <c r="N321" s="1462"/>
      <c r="O321" s="1462"/>
      <c r="P321" s="1463"/>
    </row>
    <row r="322" spans="2:16" x14ac:dyDescent="0.2">
      <c r="B322" s="57" t="s">
        <v>104</v>
      </c>
      <c r="C322" s="450">
        <f t="shared" si="220"/>
        <v>0</v>
      </c>
      <c r="D322" s="439">
        <f>IF(C311=0,0,SUM(E322:P322))</f>
        <v>0</v>
      </c>
      <c r="E322" s="1461"/>
      <c r="F322" s="1462"/>
      <c r="G322" s="1462"/>
      <c r="H322" s="1462"/>
      <c r="I322" s="1462"/>
      <c r="J322" s="1462"/>
      <c r="K322" s="1462"/>
      <c r="L322" s="1462"/>
      <c r="M322" s="1462"/>
      <c r="N322" s="1462"/>
      <c r="O322" s="1462"/>
      <c r="P322" s="1463"/>
    </row>
    <row r="323" spans="2:16" x14ac:dyDescent="0.2">
      <c r="B323" s="57" t="s">
        <v>105</v>
      </c>
      <c r="C323" s="450">
        <f t="shared" si="220"/>
        <v>0</v>
      </c>
      <c r="D323" s="439">
        <f>IF(C311=0,0,SUM(E323:P323))</f>
        <v>0</v>
      </c>
      <c r="E323" s="1461"/>
      <c r="F323" s="1462"/>
      <c r="G323" s="1462"/>
      <c r="H323" s="1462"/>
      <c r="I323" s="1462"/>
      <c r="J323" s="1462"/>
      <c r="K323" s="1462"/>
      <c r="L323" s="1462"/>
      <c r="M323" s="1462"/>
      <c r="N323" s="1462"/>
      <c r="O323" s="1462"/>
      <c r="P323" s="1463"/>
    </row>
    <row r="324" spans="2:16" x14ac:dyDescent="0.2">
      <c r="B324" s="57" t="s">
        <v>106</v>
      </c>
      <c r="C324" s="450">
        <f t="shared" si="220"/>
        <v>0</v>
      </c>
      <c r="D324" s="439">
        <f>IF(C311=0,0,SUM(E324:P324))</f>
        <v>0</v>
      </c>
      <c r="E324" s="1461"/>
      <c r="F324" s="1462"/>
      <c r="G324" s="1462"/>
      <c r="H324" s="1462"/>
      <c r="I324" s="1462"/>
      <c r="J324" s="1462"/>
      <c r="K324" s="1462"/>
      <c r="L324" s="1462"/>
      <c r="M324" s="1462"/>
      <c r="N324" s="1462"/>
      <c r="O324" s="1462"/>
      <c r="P324" s="1463"/>
    </row>
    <row r="325" spans="2:16" x14ac:dyDescent="0.2">
      <c r="B325" s="57" t="s">
        <v>37</v>
      </c>
      <c r="C325" s="450">
        <f t="shared" si="220"/>
        <v>0</v>
      </c>
      <c r="D325" s="439">
        <f>IF(C311=0,0,SUM(E325:P325))</f>
        <v>0</v>
      </c>
      <c r="E325" s="1461"/>
      <c r="F325" s="1462"/>
      <c r="G325" s="1462"/>
      <c r="H325" s="1462"/>
      <c r="I325" s="1462"/>
      <c r="J325" s="1462"/>
      <c r="K325" s="1462"/>
      <c r="L325" s="1462"/>
      <c r="M325" s="1462"/>
      <c r="N325" s="1462"/>
      <c r="O325" s="1462"/>
      <c r="P325" s="1463"/>
    </row>
    <row r="326" spans="2:16" x14ac:dyDescent="0.2">
      <c r="B326" s="57" t="s">
        <v>36</v>
      </c>
      <c r="C326" s="450">
        <f t="shared" si="220"/>
        <v>0</v>
      </c>
      <c r="D326" s="439">
        <f>IF(C311=0,0,SUM(E326:P326))</f>
        <v>0</v>
      </c>
      <c r="E326" s="1464"/>
      <c r="F326" s="1465"/>
      <c r="G326" s="1465"/>
      <c r="H326" s="1465"/>
      <c r="I326" s="1465"/>
      <c r="J326" s="1465"/>
      <c r="K326" s="1465"/>
      <c r="L326" s="1465"/>
      <c r="M326" s="1465"/>
      <c r="N326" s="1465"/>
      <c r="O326" s="1465"/>
      <c r="P326" s="1466"/>
    </row>
    <row r="327" spans="2:16" x14ac:dyDescent="0.2">
      <c r="B327" s="57" t="s">
        <v>94</v>
      </c>
      <c r="C327" s="450">
        <f t="shared" si="220"/>
        <v>0</v>
      </c>
      <c r="D327" s="486">
        <f>IF(C311=0,0,SUM(E327:P327))</f>
        <v>0</v>
      </c>
      <c r="E327" s="1464"/>
      <c r="F327" s="1465"/>
      <c r="G327" s="1465"/>
      <c r="H327" s="1465"/>
      <c r="I327" s="1465"/>
      <c r="J327" s="1465"/>
      <c r="K327" s="1465"/>
      <c r="L327" s="1465"/>
      <c r="M327" s="1465"/>
      <c r="N327" s="1465"/>
      <c r="O327" s="1465"/>
      <c r="P327" s="1466"/>
    </row>
    <row r="328" spans="2:16" ht="13.5" thickBot="1" x14ac:dyDescent="0.25">
      <c r="B328" s="40" t="s">
        <v>93</v>
      </c>
      <c r="C328" s="498">
        <f t="shared" si="220"/>
        <v>0</v>
      </c>
      <c r="D328" s="512">
        <f>IF(C311=0,0,SUM(E328:P328))</f>
        <v>0</v>
      </c>
      <c r="E328" s="1464"/>
      <c r="F328" s="1465"/>
      <c r="G328" s="1465"/>
      <c r="H328" s="1465"/>
      <c r="I328" s="1465"/>
      <c r="J328" s="1465"/>
      <c r="K328" s="1465"/>
      <c r="L328" s="1465"/>
      <c r="M328" s="1465"/>
      <c r="N328" s="1465"/>
      <c r="O328" s="1465"/>
      <c r="P328" s="1466"/>
    </row>
    <row r="329" spans="2:16" ht="13.5" thickBot="1" x14ac:dyDescent="0.25">
      <c r="B329" s="30" t="s">
        <v>107</v>
      </c>
      <c r="C329" s="416">
        <f t="shared" si="220"/>
        <v>0</v>
      </c>
      <c r="D329" s="423">
        <f>IF(C311=0,0,SUM(E329:P329))</f>
        <v>0</v>
      </c>
      <c r="E329" s="453">
        <f t="shared" ref="E329:P329" si="221">SUM(E317:E328)</f>
        <v>0</v>
      </c>
      <c r="F329" s="453">
        <f t="shared" si="221"/>
        <v>0</v>
      </c>
      <c r="G329" s="453">
        <f t="shared" si="221"/>
        <v>0</v>
      </c>
      <c r="H329" s="453">
        <f t="shared" si="221"/>
        <v>0</v>
      </c>
      <c r="I329" s="453">
        <f t="shared" si="221"/>
        <v>0</v>
      </c>
      <c r="J329" s="453">
        <f t="shared" si="221"/>
        <v>0</v>
      </c>
      <c r="K329" s="453">
        <f t="shared" si="221"/>
        <v>0</v>
      </c>
      <c r="L329" s="453">
        <f t="shared" si="221"/>
        <v>0</v>
      </c>
      <c r="M329" s="453">
        <f t="shared" si="221"/>
        <v>0</v>
      </c>
      <c r="N329" s="453">
        <f t="shared" si="221"/>
        <v>0</v>
      </c>
      <c r="O329" s="453">
        <f t="shared" si="221"/>
        <v>0</v>
      </c>
      <c r="P329" s="453">
        <f t="shared" si="221"/>
        <v>0</v>
      </c>
    </row>
    <row r="356" spans="24:24" x14ac:dyDescent="0.2">
      <c r="X356" s="27"/>
    </row>
  </sheetData>
  <sheetProtection password="C576" sheet="1" objects="1" scenarios="1"/>
  <phoneticPr fontId="0" type="noConversion"/>
  <pageMargins left="0.74803149606299213" right="0.74803149606299213" top="0.98425196850393704" bottom="0.98425196850393704" header="0.51181102362204722" footer="0.51181102362204722"/>
  <pageSetup paperSize="9" scale="49" orientation="portrait" r:id="rId1"/>
  <headerFooter alignWithMargins="0"/>
  <rowBreaks count="4" manualBreakCount="4">
    <brk id="22" max="16383" man="1"/>
    <brk id="110" max="16383" man="1"/>
    <brk id="197" max="16383" man="1"/>
    <brk id="241" max="16383" man="1"/>
  </rowBreaks>
  <colBreaks count="2" manualBreakCount="2">
    <brk id="16" max="1048575" man="1"/>
    <brk id="19" max="1048575" man="1"/>
  </colBreaks>
  <ignoredErrors>
    <ignoredError sqref="E30:P30 E43:P54 E41:P42 I32:P39 E69:P75 E68:N68 E65:P67 F209:G209 F208 L207:P208 E231:P252 E229:F229 M229:P229 E128:P143 H127:P127 E79:G79 E78:G78 K78:P78 E166:H166 E165:H165 K165:P165 E87:P98 E80:G80 K80:P80 E175:P185 E167:H167 J167:P167 E77:G77 K77:P77 K79:P79 E63:P64 E57:E58 J56:P58 E76:H76 K76:P76 E85:H86 K81:P86 E107:P120 E99:J100 H121:P126 E147:P164 E144:F146 H144:P146 K166:P166 E168:H174 K168:P174 E195:P206 E186:J193 E230:G230 L230:P230 E259:G259 E258:G258 K258:P258 E283:P301 E280:K280 E303:P317 E302:H302 J302:P302 E326:P329 E324:K325 P324:P325 E216:P216 E215:H215 J215:P215 E214:H214 J214:P214 F213:H213 F211:H211 J211:P211 F210:G210 J210:P210 J212:P213 I209:P209 E212:G212 E254:G256 E253:G253 K253:P253 E263:P273 E261:H261 K261:P261 E262:H262 K262:P262 E260:G260 K260:M260 K259:P259 E257:G257 K257:P257 E275:M279 E274:L274 N274:P274 F31:I31 K31:P31 E102:J103 F101:J101 F207 O260:P260 E55 M55:P55 E319:P323 E318 G318:P318 E105:J106 E104:H104 J104 E194:I194 E56 E218:P228 F217:P217 G40:P40 E59:E62 J59:P62 J55:K55 E81:G84 K254:P256 E281:M282" formulaRange="1"/>
  </ignoredErrors>
  <drawing r:id="rId2"/>
  <legacyDrawing r:id="rId3"/>
  <picture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CY196"/>
  <sheetViews>
    <sheetView showGridLines="0" tabSelected="1" zoomScale="95" zoomScaleNormal="95" zoomScaleSheetLayoutView="28" workbookViewId="0">
      <selection activeCell="Q35" sqref="Q35"/>
    </sheetView>
  </sheetViews>
  <sheetFormatPr defaultRowHeight="12.75" x14ac:dyDescent="0.2"/>
  <cols>
    <col min="1" max="1" width="3.140625" customWidth="1"/>
    <col min="2" max="2" width="14.140625" customWidth="1"/>
    <col min="3" max="3" width="17.85546875" customWidth="1"/>
    <col min="4" max="16" width="9.140625" style="27"/>
    <col min="17" max="18" width="2" style="27" customWidth="1"/>
    <col min="19" max="19" width="13.42578125" style="27" customWidth="1"/>
    <col min="20" max="20" width="18.42578125" style="27" customWidth="1"/>
    <col min="21" max="33" width="9.140625" style="27"/>
    <col min="34" max="34" width="4.28515625" customWidth="1"/>
    <col min="35" max="35" width="13.5703125" customWidth="1"/>
    <col min="36" max="36" width="19" customWidth="1"/>
    <col min="50" max="50" width="4.42578125" style="75" customWidth="1"/>
    <col min="51" max="51" width="14.28515625" customWidth="1"/>
    <col min="52" max="52" width="19.28515625" customWidth="1"/>
    <col min="53" max="58" width="9.140625" style="27"/>
    <col min="59" max="65" width="9.28515625" style="27" bestFit="1" customWidth="1"/>
    <col min="66" max="66" width="7.5703125" customWidth="1"/>
    <col min="87" max="87" width="3" customWidth="1"/>
    <col min="88" max="88" width="17.85546875" customWidth="1"/>
    <col min="89" max="89" width="21.5703125" customWidth="1"/>
    <col min="90" max="90" width="13.42578125" customWidth="1"/>
    <col min="91" max="102" width="11.28515625" customWidth="1"/>
  </cols>
  <sheetData>
    <row r="1" spans="2:103" ht="13.5" thickBot="1" x14ac:dyDescent="0.25"/>
    <row r="2" spans="2:103" ht="24" thickBot="1" x14ac:dyDescent="0.4">
      <c r="B2" s="32" t="s">
        <v>123</v>
      </c>
      <c r="C2" s="32"/>
      <c r="D2" s="240"/>
      <c r="E2" s="241"/>
      <c r="F2" s="242"/>
      <c r="S2" s="32" t="s">
        <v>521</v>
      </c>
      <c r="T2" s="32"/>
      <c r="U2" s="240"/>
      <c r="V2" s="240"/>
      <c r="W2" s="241"/>
      <c r="X2" s="242"/>
      <c r="AI2" s="1629" t="s">
        <v>95</v>
      </c>
      <c r="AJ2" s="1630"/>
      <c r="AK2" s="1630"/>
      <c r="AL2" s="1631"/>
      <c r="AY2" s="1629" t="s">
        <v>97</v>
      </c>
      <c r="AZ2" s="1630"/>
      <c r="BA2" s="1631"/>
      <c r="CJ2" s="32" t="s">
        <v>97</v>
      </c>
      <c r="CK2" s="89"/>
      <c r="CL2" s="1164"/>
      <c r="CM2" s="363"/>
    </row>
    <row r="3" spans="2:103" ht="13.5" customHeight="1" x14ac:dyDescent="0.35">
      <c r="B3" s="39"/>
      <c r="C3" s="39"/>
      <c r="D3" s="243"/>
      <c r="S3" s="243"/>
      <c r="T3" s="243"/>
      <c r="U3" s="243"/>
      <c r="AI3" s="39"/>
      <c r="AJ3" s="39"/>
      <c r="AK3" s="39"/>
      <c r="AL3" s="39"/>
      <c r="AY3" s="39"/>
      <c r="AZ3" s="39"/>
      <c r="BA3" s="243"/>
      <c r="CJ3" s="39"/>
      <c r="CK3" s="39"/>
      <c r="CL3" s="39"/>
    </row>
    <row r="4" spans="2:103" ht="13.5" customHeight="1" thickBot="1" x14ac:dyDescent="0.4">
      <c r="S4" s="243"/>
      <c r="T4" s="243"/>
      <c r="U4" s="243"/>
      <c r="AI4" s="39"/>
      <c r="AJ4" s="39"/>
      <c r="AK4" s="39"/>
      <c r="AL4" s="39"/>
      <c r="AY4" s="39"/>
      <c r="AZ4" s="39"/>
      <c r="BA4" s="243"/>
      <c r="CJ4" s="39"/>
      <c r="CK4" s="39"/>
      <c r="CL4" s="39"/>
    </row>
    <row r="5" spans="2:103" ht="13.5" customHeight="1" thickBot="1" x14ac:dyDescent="0.25">
      <c r="B5" s="5" t="s">
        <v>73</v>
      </c>
      <c r="C5" s="36"/>
      <c r="D5" s="244" t="s">
        <v>40</v>
      </c>
      <c r="E5" s="245"/>
      <c r="F5" s="246"/>
      <c r="G5" s="246"/>
      <c r="H5" s="246"/>
      <c r="I5" s="246"/>
      <c r="J5" s="219" t="s">
        <v>42</v>
      </c>
      <c r="K5" s="246"/>
      <c r="L5" s="246"/>
      <c r="M5" s="246"/>
      <c r="N5" s="246"/>
      <c r="O5" s="246"/>
      <c r="P5" s="247"/>
      <c r="S5" s="5" t="s">
        <v>73</v>
      </c>
      <c r="T5" s="36"/>
      <c r="U5" s="244" t="s">
        <v>40</v>
      </c>
      <c r="V5" s="245"/>
      <c r="W5" s="246"/>
      <c r="X5" s="246"/>
      <c r="Y5" s="246"/>
      <c r="Z5" s="246"/>
      <c r="AA5" s="219" t="s">
        <v>42</v>
      </c>
      <c r="AB5" s="246"/>
      <c r="AC5" s="246"/>
      <c r="AD5" s="246"/>
      <c r="AE5" s="246"/>
      <c r="AF5" s="246"/>
      <c r="AG5" s="247"/>
      <c r="AI5" s="5" t="s">
        <v>314</v>
      </c>
      <c r="AJ5" s="36"/>
      <c r="AK5" s="52" t="s">
        <v>40</v>
      </c>
      <c r="AL5" s="47"/>
      <c r="AM5" s="48"/>
      <c r="AN5" s="48"/>
      <c r="AO5" s="48"/>
      <c r="AP5" s="48"/>
      <c r="AQ5" s="41" t="s">
        <v>42</v>
      </c>
      <c r="AR5" s="48"/>
      <c r="AS5" s="48"/>
      <c r="AT5" s="48"/>
      <c r="AU5" s="48"/>
      <c r="AV5" s="48"/>
      <c r="AW5" s="49"/>
      <c r="AY5" s="5" t="s">
        <v>315</v>
      </c>
      <c r="AZ5" s="36"/>
      <c r="BA5" s="244" t="s">
        <v>40</v>
      </c>
      <c r="BB5" s="245"/>
      <c r="BC5" s="246"/>
      <c r="BD5" s="246"/>
      <c r="BE5" s="246"/>
      <c r="BF5" s="246"/>
      <c r="BG5" s="219" t="s">
        <v>42</v>
      </c>
      <c r="BH5" s="246"/>
      <c r="BI5" s="246"/>
      <c r="BJ5" s="246"/>
      <c r="BK5" s="246"/>
      <c r="BL5" s="246"/>
      <c r="BM5" s="247"/>
      <c r="CJ5" s="5" t="s">
        <v>315</v>
      </c>
      <c r="CK5" s="36"/>
      <c r="CL5" s="52" t="s">
        <v>40</v>
      </c>
      <c r="CM5" s="47"/>
      <c r="CN5" s="48"/>
      <c r="CO5" s="48"/>
      <c r="CP5" s="48"/>
      <c r="CQ5" s="48"/>
      <c r="CR5" s="41" t="s">
        <v>42</v>
      </c>
      <c r="CS5" s="48"/>
      <c r="CT5" s="48"/>
      <c r="CU5" s="48"/>
      <c r="CV5" s="48"/>
      <c r="CW5" s="48"/>
      <c r="CX5" s="49"/>
    </row>
    <row r="6" spans="2:103" ht="13.5" customHeight="1" thickBot="1" x14ac:dyDescent="0.25">
      <c r="B6" s="57"/>
      <c r="C6" s="59"/>
      <c r="D6" s="248" t="s">
        <v>41</v>
      </c>
      <c r="E6" s="82">
        <v>1</v>
      </c>
      <c r="F6" s="70">
        <v>2</v>
      </c>
      <c r="G6" s="70">
        <v>3</v>
      </c>
      <c r="H6" s="70">
        <v>4</v>
      </c>
      <c r="I6" s="70">
        <v>5</v>
      </c>
      <c r="J6" s="70">
        <v>6</v>
      </c>
      <c r="K6" s="70">
        <v>7</v>
      </c>
      <c r="L6" s="70">
        <v>8</v>
      </c>
      <c r="M6" s="70">
        <v>9</v>
      </c>
      <c r="N6" s="70">
        <v>10</v>
      </c>
      <c r="O6" s="70">
        <v>11</v>
      </c>
      <c r="P6" s="71">
        <v>12</v>
      </c>
      <c r="S6" s="57"/>
      <c r="T6" s="59"/>
      <c r="U6" s="248" t="s">
        <v>41</v>
      </c>
      <c r="V6" s="82">
        <v>1</v>
      </c>
      <c r="W6" s="70">
        <v>2</v>
      </c>
      <c r="X6" s="70">
        <v>3</v>
      </c>
      <c r="Y6" s="70">
        <v>4</v>
      </c>
      <c r="Z6" s="70">
        <v>5</v>
      </c>
      <c r="AA6" s="70">
        <v>6</v>
      </c>
      <c r="AB6" s="70">
        <v>7</v>
      </c>
      <c r="AC6" s="70">
        <v>8</v>
      </c>
      <c r="AD6" s="70">
        <v>9</v>
      </c>
      <c r="AE6" s="70">
        <v>10</v>
      </c>
      <c r="AF6" s="70">
        <v>11</v>
      </c>
      <c r="AG6" s="71">
        <v>12</v>
      </c>
      <c r="AI6" s="57"/>
      <c r="AJ6" s="59"/>
      <c r="AK6" s="55" t="s">
        <v>41</v>
      </c>
      <c r="AL6" s="78">
        <v>1</v>
      </c>
      <c r="AM6" s="70">
        <v>2</v>
      </c>
      <c r="AN6" s="70">
        <v>3</v>
      </c>
      <c r="AO6" s="70">
        <v>4</v>
      </c>
      <c r="AP6" s="70">
        <v>5</v>
      </c>
      <c r="AQ6" s="70">
        <v>6</v>
      </c>
      <c r="AR6" s="70">
        <v>7</v>
      </c>
      <c r="AS6" s="70">
        <v>8</v>
      </c>
      <c r="AT6" s="70">
        <v>9</v>
      </c>
      <c r="AU6" s="70">
        <v>10</v>
      </c>
      <c r="AV6" s="70">
        <v>11</v>
      </c>
      <c r="AW6" s="71">
        <v>12</v>
      </c>
      <c r="AY6" s="57"/>
      <c r="AZ6" s="59"/>
      <c r="BA6" s="248" t="s">
        <v>41</v>
      </c>
      <c r="BB6" s="82">
        <v>1</v>
      </c>
      <c r="BC6" s="70">
        <v>2</v>
      </c>
      <c r="BD6" s="70">
        <v>3</v>
      </c>
      <c r="BE6" s="70">
        <v>4</v>
      </c>
      <c r="BF6" s="70">
        <v>5</v>
      </c>
      <c r="BG6" s="70">
        <v>6</v>
      </c>
      <c r="BH6" s="70">
        <v>7</v>
      </c>
      <c r="BI6" s="70">
        <v>8</v>
      </c>
      <c r="BJ6" s="70">
        <v>9</v>
      </c>
      <c r="BK6" s="70">
        <v>10</v>
      </c>
      <c r="BL6" s="70">
        <v>11</v>
      </c>
      <c r="BM6" s="71">
        <v>12</v>
      </c>
      <c r="CJ6" s="57"/>
      <c r="CK6" s="59"/>
      <c r="CL6" s="55" t="s">
        <v>41</v>
      </c>
      <c r="CM6" s="78">
        <v>1</v>
      </c>
      <c r="CN6" s="70">
        <v>2</v>
      </c>
      <c r="CO6" s="70">
        <v>3</v>
      </c>
      <c r="CP6" s="70">
        <v>4</v>
      </c>
      <c r="CQ6" s="70">
        <v>5</v>
      </c>
      <c r="CR6" s="70">
        <v>6</v>
      </c>
      <c r="CS6" s="70">
        <v>7</v>
      </c>
      <c r="CT6" s="70">
        <v>8</v>
      </c>
      <c r="CU6" s="70">
        <v>9</v>
      </c>
      <c r="CV6" s="70">
        <v>10</v>
      </c>
      <c r="CW6" s="70">
        <v>11</v>
      </c>
      <c r="CX6" s="71">
        <v>12</v>
      </c>
    </row>
    <row r="7" spans="2:103" ht="13.5" customHeight="1" x14ac:dyDescent="0.2">
      <c r="B7" s="5" t="s">
        <v>100</v>
      </c>
      <c r="C7" s="13"/>
      <c r="D7" s="432">
        <f>'3 Saalis'!D9</f>
        <v>0</v>
      </c>
      <c r="E7" s="433">
        <f>'3 Saalis'!E9</f>
        <v>0</v>
      </c>
      <c r="F7" s="434">
        <f>'3 Saalis'!F9</f>
        <v>0</v>
      </c>
      <c r="G7" s="434">
        <f>'3 Saalis'!G9</f>
        <v>0</v>
      </c>
      <c r="H7" s="434">
        <f>'3 Saalis'!H9</f>
        <v>0</v>
      </c>
      <c r="I7" s="434">
        <f>'3 Saalis'!I9</f>
        <v>0</v>
      </c>
      <c r="J7" s="434">
        <f>'3 Saalis'!J9</f>
        <v>0</v>
      </c>
      <c r="K7" s="434">
        <f>'3 Saalis'!K9</f>
        <v>0</v>
      </c>
      <c r="L7" s="434">
        <f>'3 Saalis'!L9</f>
        <v>0</v>
      </c>
      <c r="M7" s="434">
        <f>'3 Saalis'!M9</f>
        <v>0</v>
      </c>
      <c r="N7" s="434">
        <f>'3 Saalis'!N9</f>
        <v>0</v>
      </c>
      <c r="O7" s="434">
        <f>'3 Saalis'!O9</f>
        <v>0</v>
      </c>
      <c r="P7" s="435">
        <f>'3 Saalis'!P9</f>
        <v>0</v>
      </c>
      <c r="S7" s="5" t="s">
        <v>100</v>
      </c>
      <c r="T7" s="13"/>
      <c r="U7" s="425">
        <f>SUM(V7:AG7)</f>
        <v>0</v>
      </c>
      <c r="V7" s="509">
        <f>V44</f>
        <v>0</v>
      </c>
      <c r="W7" s="434">
        <f t="shared" ref="W7:AG7" si="0">W44</f>
        <v>0</v>
      </c>
      <c r="X7" s="434">
        <f t="shared" si="0"/>
        <v>0</v>
      </c>
      <c r="Y7" s="434">
        <f t="shared" si="0"/>
        <v>0</v>
      </c>
      <c r="Z7" s="434">
        <f t="shared" si="0"/>
        <v>0</v>
      </c>
      <c r="AA7" s="434">
        <f t="shared" si="0"/>
        <v>0</v>
      </c>
      <c r="AB7" s="434">
        <f t="shared" si="0"/>
        <v>0</v>
      </c>
      <c r="AC7" s="434">
        <f t="shared" si="0"/>
        <v>0</v>
      </c>
      <c r="AD7" s="434">
        <f t="shared" si="0"/>
        <v>0</v>
      </c>
      <c r="AE7" s="434">
        <f t="shared" si="0"/>
        <v>0</v>
      </c>
      <c r="AF7" s="434">
        <f t="shared" si="0"/>
        <v>0</v>
      </c>
      <c r="AG7" s="435">
        <f t="shared" si="0"/>
        <v>0</v>
      </c>
      <c r="AI7" s="5" t="s">
        <v>100</v>
      </c>
      <c r="AJ7" s="13"/>
      <c r="AK7" s="556">
        <f>AK44</f>
        <v>0</v>
      </c>
      <c r="AL7" s="557">
        <f>AL44</f>
        <v>0</v>
      </c>
      <c r="AM7" s="558">
        <f t="shared" ref="AM7:AW7" si="1">AM44</f>
        <v>0</v>
      </c>
      <c r="AN7" s="558">
        <f t="shared" si="1"/>
        <v>0</v>
      </c>
      <c r="AO7" s="558">
        <f t="shared" si="1"/>
        <v>0</v>
      </c>
      <c r="AP7" s="558">
        <f t="shared" si="1"/>
        <v>0</v>
      </c>
      <c r="AQ7" s="558">
        <f t="shared" si="1"/>
        <v>0</v>
      </c>
      <c r="AR7" s="558">
        <f t="shared" si="1"/>
        <v>0</v>
      </c>
      <c r="AS7" s="558">
        <f t="shared" si="1"/>
        <v>0</v>
      </c>
      <c r="AT7" s="558">
        <f t="shared" si="1"/>
        <v>0</v>
      </c>
      <c r="AU7" s="558">
        <f t="shared" si="1"/>
        <v>0</v>
      </c>
      <c r="AV7" s="558">
        <f t="shared" si="1"/>
        <v>0</v>
      </c>
      <c r="AW7" s="559">
        <f t="shared" si="1"/>
        <v>0</v>
      </c>
      <c r="AY7" s="5" t="s">
        <v>100</v>
      </c>
      <c r="AZ7" s="13"/>
      <c r="BA7" s="425">
        <f>BA44</f>
        <v>0</v>
      </c>
      <c r="BB7" s="509">
        <f t="shared" ref="BB7:BM7" si="2">BB44</f>
        <v>0</v>
      </c>
      <c r="BC7" s="434">
        <f t="shared" si="2"/>
        <v>0</v>
      </c>
      <c r="BD7" s="434">
        <f t="shared" si="2"/>
        <v>0</v>
      </c>
      <c r="BE7" s="434">
        <f t="shared" si="2"/>
        <v>0</v>
      </c>
      <c r="BF7" s="434">
        <f t="shared" si="2"/>
        <v>0</v>
      </c>
      <c r="BG7" s="434">
        <f t="shared" si="2"/>
        <v>0</v>
      </c>
      <c r="BH7" s="434">
        <f t="shared" si="2"/>
        <v>0</v>
      </c>
      <c r="BI7" s="434">
        <f t="shared" si="2"/>
        <v>0</v>
      </c>
      <c r="BJ7" s="434">
        <f t="shared" si="2"/>
        <v>0</v>
      </c>
      <c r="BK7" s="434">
        <f t="shared" si="2"/>
        <v>0</v>
      </c>
      <c r="BL7" s="434">
        <f t="shared" si="2"/>
        <v>0</v>
      </c>
      <c r="BM7" s="435">
        <f t="shared" si="2"/>
        <v>0</v>
      </c>
      <c r="CI7" s="27"/>
      <c r="CJ7" s="5" t="s">
        <v>100</v>
      </c>
      <c r="CK7" s="13"/>
      <c r="CL7" s="598">
        <f>BA7</f>
        <v>0</v>
      </c>
      <c r="CM7" s="599">
        <f>BB7</f>
        <v>0</v>
      </c>
      <c r="CN7" s="600">
        <f t="shared" ref="CM7:CX19" si="3">BC7</f>
        <v>0</v>
      </c>
      <c r="CO7" s="600">
        <f t="shared" si="3"/>
        <v>0</v>
      </c>
      <c r="CP7" s="600">
        <f t="shared" si="3"/>
        <v>0</v>
      </c>
      <c r="CQ7" s="600">
        <f t="shared" si="3"/>
        <v>0</v>
      </c>
      <c r="CR7" s="600">
        <f t="shared" si="3"/>
        <v>0</v>
      </c>
      <c r="CS7" s="600">
        <f t="shared" si="3"/>
        <v>0</v>
      </c>
      <c r="CT7" s="600">
        <f t="shared" si="3"/>
        <v>0</v>
      </c>
      <c r="CU7" s="600">
        <f t="shared" si="3"/>
        <v>0</v>
      </c>
      <c r="CV7" s="600">
        <f t="shared" si="3"/>
        <v>0</v>
      </c>
      <c r="CW7" s="600">
        <f t="shared" si="3"/>
        <v>0</v>
      </c>
      <c r="CX7" s="601">
        <f t="shared" si="3"/>
        <v>0</v>
      </c>
    </row>
    <row r="8" spans="2:103" ht="13.5" customHeight="1" x14ac:dyDescent="0.2">
      <c r="B8" s="57" t="s">
        <v>108</v>
      </c>
      <c r="C8" s="68"/>
      <c r="D8" s="436">
        <f>'3 Saalis'!D10</f>
        <v>0</v>
      </c>
      <c r="E8" s="437">
        <f>'3 Saalis'!E10</f>
        <v>0</v>
      </c>
      <c r="F8" s="438">
        <f>'3 Saalis'!F10</f>
        <v>0</v>
      </c>
      <c r="G8" s="438">
        <f>'3 Saalis'!G10</f>
        <v>0</v>
      </c>
      <c r="H8" s="438">
        <f>'3 Saalis'!H10</f>
        <v>0</v>
      </c>
      <c r="I8" s="438">
        <f>'3 Saalis'!I10</f>
        <v>0</v>
      </c>
      <c r="J8" s="438">
        <f>'3 Saalis'!J10</f>
        <v>0</v>
      </c>
      <c r="K8" s="438">
        <f>'3 Saalis'!K10</f>
        <v>0</v>
      </c>
      <c r="L8" s="438">
        <f>'3 Saalis'!L10</f>
        <v>0</v>
      </c>
      <c r="M8" s="438">
        <f>'3 Saalis'!M10</f>
        <v>0</v>
      </c>
      <c r="N8" s="438">
        <f>'3 Saalis'!N10</f>
        <v>0</v>
      </c>
      <c r="O8" s="438">
        <f>'3 Saalis'!O10</f>
        <v>0</v>
      </c>
      <c r="P8" s="439">
        <f>'3 Saalis'!P10</f>
        <v>0</v>
      </c>
      <c r="S8" s="57" t="s">
        <v>108</v>
      </c>
      <c r="T8" s="68"/>
      <c r="U8" s="510">
        <f t="shared" ref="U8:U18" si="4">SUM(V8:AG8)</f>
        <v>0</v>
      </c>
      <c r="V8" s="511">
        <f>V54</f>
        <v>0</v>
      </c>
      <c r="W8" s="438">
        <f t="shared" ref="W8:AG8" si="5">W54</f>
        <v>0</v>
      </c>
      <c r="X8" s="438">
        <f t="shared" si="5"/>
        <v>0</v>
      </c>
      <c r="Y8" s="438">
        <f t="shared" si="5"/>
        <v>0</v>
      </c>
      <c r="Z8" s="438">
        <f t="shared" si="5"/>
        <v>0</v>
      </c>
      <c r="AA8" s="438">
        <f t="shared" si="5"/>
        <v>0</v>
      </c>
      <c r="AB8" s="438">
        <f t="shared" si="5"/>
        <v>0</v>
      </c>
      <c r="AC8" s="438">
        <f t="shared" si="5"/>
        <v>0</v>
      </c>
      <c r="AD8" s="438">
        <f t="shared" si="5"/>
        <v>0</v>
      </c>
      <c r="AE8" s="438">
        <f t="shared" si="5"/>
        <v>0</v>
      </c>
      <c r="AF8" s="438">
        <f t="shared" si="5"/>
        <v>0</v>
      </c>
      <c r="AG8" s="439">
        <f t="shared" si="5"/>
        <v>0</v>
      </c>
      <c r="AI8" s="57" t="s">
        <v>108</v>
      </c>
      <c r="AJ8" s="68"/>
      <c r="AK8" s="560">
        <f>AK54</f>
        <v>0</v>
      </c>
      <c r="AL8" s="561">
        <f t="shared" ref="AL8:AW8" si="6">AL54</f>
        <v>0</v>
      </c>
      <c r="AM8" s="562">
        <f t="shared" si="6"/>
        <v>0</v>
      </c>
      <c r="AN8" s="562">
        <f t="shared" si="6"/>
        <v>0</v>
      </c>
      <c r="AO8" s="562">
        <f t="shared" si="6"/>
        <v>0</v>
      </c>
      <c r="AP8" s="562">
        <f t="shared" si="6"/>
        <v>0</v>
      </c>
      <c r="AQ8" s="562">
        <f t="shared" si="6"/>
        <v>0</v>
      </c>
      <c r="AR8" s="562">
        <f t="shared" si="6"/>
        <v>0</v>
      </c>
      <c r="AS8" s="562">
        <f t="shared" si="6"/>
        <v>0</v>
      </c>
      <c r="AT8" s="562">
        <f t="shared" si="6"/>
        <v>0</v>
      </c>
      <c r="AU8" s="562">
        <f t="shared" si="6"/>
        <v>0</v>
      </c>
      <c r="AV8" s="562">
        <f t="shared" si="6"/>
        <v>0</v>
      </c>
      <c r="AW8" s="563">
        <f t="shared" si="6"/>
        <v>0</v>
      </c>
      <c r="AY8" s="57" t="s">
        <v>108</v>
      </c>
      <c r="AZ8" s="68"/>
      <c r="BA8" s="510">
        <f>BA54</f>
        <v>0</v>
      </c>
      <c r="BB8" s="511">
        <f t="shared" ref="BB8:BM8" si="7">BB54</f>
        <v>0</v>
      </c>
      <c r="BC8" s="438">
        <f t="shared" si="7"/>
        <v>0</v>
      </c>
      <c r="BD8" s="438">
        <f t="shared" si="7"/>
        <v>0</v>
      </c>
      <c r="BE8" s="438">
        <f t="shared" si="7"/>
        <v>0</v>
      </c>
      <c r="BF8" s="438">
        <f t="shared" si="7"/>
        <v>0</v>
      </c>
      <c r="BG8" s="438">
        <f t="shared" si="7"/>
        <v>0</v>
      </c>
      <c r="BH8" s="438">
        <f t="shared" si="7"/>
        <v>0</v>
      </c>
      <c r="BI8" s="438">
        <f t="shared" si="7"/>
        <v>0</v>
      </c>
      <c r="BJ8" s="438">
        <f t="shared" si="7"/>
        <v>0</v>
      </c>
      <c r="BK8" s="438">
        <f t="shared" si="7"/>
        <v>0</v>
      </c>
      <c r="BL8" s="438">
        <f t="shared" si="7"/>
        <v>0</v>
      </c>
      <c r="BM8" s="439">
        <f t="shared" si="7"/>
        <v>0</v>
      </c>
      <c r="CI8" s="27"/>
      <c r="CJ8" s="57" t="s">
        <v>108</v>
      </c>
      <c r="CK8" s="68"/>
      <c r="CL8" s="602">
        <f t="shared" ref="CL8:CL18" si="8">BA8</f>
        <v>0</v>
      </c>
      <c r="CM8" s="603">
        <f t="shared" si="3"/>
        <v>0</v>
      </c>
      <c r="CN8" s="604">
        <f t="shared" si="3"/>
        <v>0</v>
      </c>
      <c r="CO8" s="604">
        <f t="shared" si="3"/>
        <v>0</v>
      </c>
      <c r="CP8" s="604">
        <f t="shared" si="3"/>
        <v>0</v>
      </c>
      <c r="CQ8" s="604">
        <f t="shared" si="3"/>
        <v>0</v>
      </c>
      <c r="CR8" s="604">
        <f t="shared" si="3"/>
        <v>0</v>
      </c>
      <c r="CS8" s="604">
        <f t="shared" si="3"/>
        <v>0</v>
      </c>
      <c r="CT8" s="604">
        <f t="shared" si="3"/>
        <v>0</v>
      </c>
      <c r="CU8" s="604">
        <f t="shared" si="3"/>
        <v>0</v>
      </c>
      <c r="CV8" s="604">
        <f t="shared" si="3"/>
        <v>0</v>
      </c>
      <c r="CW8" s="604">
        <f t="shared" si="3"/>
        <v>0</v>
      </c>
      <c r="CX8" s="605">
        <f t="shared" si="3"/>
        <v>0</v>
      </c>
      <c r="CY8" s="88" t="s">
        <v>1</v>
      </c>
    </row>
    <row r="9" spans="2:103" ht="13.5" customHeight="1" x14ac:dyDescent="0.2">
      <c r="B9" s="57" t="s">
        <v>101</v>
      </c>
      <c r="C9" s="68"/>
      <c r="D9" s="436">
        <f>'3 Saalis'!D11</f>
        <v>0</v>
      </c>
      <c r="E9" s="437">
        <f>'3 Saalis'!E11</f>
        <v>0</v>
      </c>
      <c r="F9" s="438">
        <f>'3 Saalis'!F11</f>
        <v>0</v>
      </c>
      <c r="G9" s="438">
        <f>'3 Saalis'!G11</f>
        <v>0</v>
      </c>
      <c r="H9" s="438">
        <f>'3 Saalis'!H11</f>
        <v>0</v>
      </c>
      <c r="I9" s="438">
        <f>'3 Saalis'!I11</f>
        <v>0</v>
      </c>
      <c r="J9" s="438">
        <f>'3 Saalis'!J11</f>
        <v>0</v>
      </c>
      <c r="K9" s="438">
        <f>'3 Saalis'!K11</f>
        <v>0</v>
      </c>
      <c r="L9" s="438">
        <f>'3 Saalis'!L11</f>
        <v>0</v>
      </c>
      <c r="M9" s="438">
        <f>'3 Saalis'!M11</f>
        <v>0</v>
      </c>
      <c r="N9" s="438">
        <f>'3 Saalis'!N11</f>
        <v>0</v>
      </c>
      <c r="O9" s="438">
        <f>'3 Saalis'!O11</f>
        <v>0</v>
      </c>
      <c r="P9" s="439">
        <f>'3 Saalis'!P11</f>
        <v>0</v>
      </c>
      <c r="S9" s="57" t="s">
        <v>101</v>
      </c>
      <c r="T9" s="68"/>
      <c r="U9" s="510">
        <f t="shared" si="4"/>
        <v>0</v>
      </c>
      <c r="V9" s="511">
        <f>V66</f>
        <v>0</v>
      </c>
      <c r="W9" s="438">
        <f t="shared" ref="W9:AG9" si="9">W66</f>
        <v>0</v>
      </c>
      <c r="X9" s="438">
        <f t="shared" si="9"/>
        <v>0</v>
      </c>
      <c r="Y9" s="438">
        <f t="shared" si="9"/>
        <v>0</v>
      </c>
      <c r="Z9" s="438">
        <f t="shared" si="9"/>
        <v>0</v>
      </c>
      <c r="AA9" s="438">
        <f t="shared" si="9"/>
        <v>0</v>
      </c>
      <c r="AB9" s="438">
        <f t="shared" si="9"/>
        <v>0</v>
      </c>
      <c r="AC9" s="438">
        <f t="shared" si="9"/>
        <v>0</v>
      </c>
      <c r="AD9" s="438">
        <f t="shared" si="9"/>
        <v>0</v>
      </c>
      <c r="AE9" s="438">
        <f t="shared" si="9"/>
        <v>0</v>
      </c>
      <c r="AF9" s="438">
        <f t="shared" si="9"/>
        <v>0</v>
      </c>
      <c r="AG9" s="439">
        <f t="shared" si="9"/>
        <v>0</v>
      </c>
      <c r="AI9" s="57" t="s">
        <v>101</v>
      </c>
      <c r="AJ9" s="68"/>
      <c r="AK9" s="560">
        <f>AK66</f>
        <v>0</v>
      </c>
      <c r="AL9" s="561">
        <f t="shared" ref="AL9:AW9" si="10">AL66</f>
        <v>0</v>
      </c>
      <c r="AM9" s="562">
        <f t="shared" si="10"/>
        <v>0</v>
      </c>
      <c r="AN9" s="562">
        <f t="shared" si="10"/>
        <v>0</v>
      </c>
      <c r="AO9" s="562">
        <f t="shared" si="10"/>
        <v>0</v>
      </c>
      <c r="AP9" s="562">
        <f t="shared" si="10"/>
        <v>0</v>
      </c>
      <c r="AQ9" s="562">
        <f t="shared" si="10"/>
        <v>0</v>
      </c>
      <c r="AR9" s="562">
        <f t="shared" si="10"/>
        <v>0</v>
      </c>
      <c r="AS9" s="562">
        <f t="shared" si="10"/>
        <v>0</v>
      </c>
      <c r="AT9" s="562">
        <f t="shared" si="10"/>
        <v>0</v>
      </c>
      <c r="AU9" s="562">
        <f t="shared" si="10"/>
        <v>0</v>
      </c>
      <c r="AV9" s="562">
        <f t="shared" si="10"/>
        <v>0</v>
      </c>
      <c r="AW9" s="563">
        <f t="shared" si="10"/>
        <v>0</v>
      </c>
      <c r="AY9" s="57" t="s">
        <v>101</v>
      </c>
      <c r="AZ9" s="68"/>
      <c r="BA9" s="510">
        <f>BA66</f>
        <v>0</v>
      </c>
      <c r="BB9" s="511">
        <f t="shared" ref="BB9:BM9" si="11">BB66</f>
        <v>0</v>
      </c>
      <c r="BC9" s="438">
        <f t="shared" si="11"/>
        <v>0</v>
      </c>
      <c r="BD9" s="438">
        <f t="shared" si="11"/>
        <v>0</v>
      </c>
      <c r="BE9" s="438">
        <f t="shared" si="11"/>
        <v>0</v>
      </c>
      <c r="BF9" s="438">
        <f t="shared" si="11"/>
        <v>0</v>
      </c>
      <c r="BG9" s="438">
        <f t="shared" si="11"/>
        <v>0</v>
      </c>
      <c r="BH9" s="438">
        <f t="shared" si="11"/>
        <v>0</v>
      </c>
      <c r="BI9" s="438">
        <f t="shared" si="11"/>
        <v>0</v>
      </c>
      <c r="BJ9" s="438">
        <f t="shared" si="11"/>
        <v>0</v>
      </c>
      <c r="BK9" s="438">
        <f t="shared" si="11"/>
        <v>0</v>
      </c>
      <c r="BL9" s="438">
        <f t="shared" si="11"/>
        <v>0</v>
      </c>
      <c r="BM9" s="439">
        <f t="shared" si="11"/>
        <v>0</v>
      </c>
      <c r="CI9" s="27"/>
      <c r="CJ9" s="57" t="s">
        <v>101</v>
      </c>
      <c r="CK9" s="68"/>
      <c r="CL9" s="602">
        <f t="shared" si="8"/>
        <v>0</v>
      </c>
      <c r="CM9" s="603">
        <f t="shared" si="3"/>
        <v>0</v>
      </c>
      <c r="CN9" s="604">
        <f t="shared" si="3"/>
        <v>0</v>
      </c>
      <c r="CO9" s="604">
        <f>BD9</f>
        <v>0</v>
      </c>
      <c r="CP9" s="604">
        <f t="shared" si="3"/>
        <v>0</v>
      </c>
      <c r="CQ9" s="604">
        <f t="shared" si="3"/>
        <v>0</v>
      </c>
      <c r="CR9" s="604">
        <f t="shared" si="3"/>
        <v>0</v>
      </c>
      <c r="CS9" s="604">
        <f t="shared" si="3"/>
        <v>0</v>
      </c>
      <c r="CT9" s="604">
        <f t="shared" si="3"/>
        <v>0</v>
      </c>
      <c r="CU9" s="604">
        <f t="shared" si="3"/>
        <v>0</v>
      </c>
      <c r="CV9" s="604">
        <f t="shared" si="3"/>
        <v>0</v>
      </c>
      <c r="CW9" s="604">
        <f t="shared" si="3"/>
        <v>0</v>
      </c>
      <c r="CX9" s="605">
        <f t="shared" si="3"/>
        <v>0</v>
      </c>
      <c r="CY9" s="88" t="s">
        <v>1</v>
      </c>
    </row>
    <row r="10" spans="2:103" ht="13.5" customHeight="1" x14ac:dyDescent="0.2">
      <c r="B10" s="57" t="s">
        <v>102</v>
      </c>
      <c r="C10" s="68"/>
      <c r="D10" s="436">
        <f>'3 Saalis'!D12</f>
        <v>0</v>
      </c>
      <c r="E10" s="437">
        <f>'3 Saalis'!E12</f>
        <v>0</v>
      </c>
      <c r="F10" s="438">
        <f>'3 Saalis'!F12</f>
        <v>0</v>
      </c>
      <c r="G10" s="438">
        <f>'3 Saalis'!G12</f>
        <v>0</v>
      </c>
      <c r="H10" s="438">
        <f>'3 Saalis'!H12</f>
        <v>0</v>
      </c>
      <c r="I10" s="438">
        <f>'3 Saalis'!I12</f>
        <v>0</v>
      </c>
      <c r="J10" s="438">
        <f>'3 Saalis'!J12</f>
        <v>0</v>
      </c>
      <c r="K10" s="438">
        <f>'3 Saalis'!K12</f>
        <v>0</v>
      </c>
      <c r="L10" s="438">
        <f>'3 Saalis'!L12</f>
        <v>0</v>
      </c>
      <c r="M10" s="438">
        <f>'3 Saalis'!M12</f>
        <v>0</v>
      </c>
      <c r="N10" s="438">
        <f>'3 Saalis'!N12</f>
        <v>0</v>
      </c>
      <c r="O10" s="438">
        <f>'3 Saalis'!O12</f>
        <v>0</v>
      </c>
      <c r="P10" s="439">
        <f>'3 Saalis'!P12</f>
        <v>0</v>
      </c>
      <c r="S10" s="57" t="s">
        <v>102</v>
      </c>
      <c r="T10" s="68"/>
      <c r="U10" s="510">
        <f>SUM(V10:AG10)</f>
        <v>0</v>
      </c>
      <c r="V10" s="511">
        <f>V79</f>
        <v>0</v>
      </c>
      <c r="W10" s="438">
        <f t="shared" ref="W10:AG10" si="12">W79</f>
        <v>0</v>
      </c>
      <c r="X10" s="438">
        <f t="shared" si="12"/>
        <v>0</v>
      </c>
      <c r="Y10" s="438">
        <f>Y79</f>
        <v>0</v>
      </c>
      <c r="Z10" s="438">
        <f t="shared" si="12"/>
        <v>0</v>
      </c>
      <c r="AA10" s="438">
        <f t="shared" si="12"/>
        <v>0</v>
      </c>
      <c r="AB10" s="438">
        <f t="shared" si="12"/>
        <v>0</v>
      </c>
      <c r="AC10" s="438">
        <f t="shared" si="12"/>
        <v>0</v>
      </c>
      <c r="AD10" s="438">
        <f t="shared" si="12"/>
        <v>0</v>
      </c>
      <c r="AE10" s="438">
        <f t="shared" si="12"/>
        <v>0</v>
      </c>
      <c r="AF10" s="438">
        <f t="shared" si="12"/>
        <v>0</v>
      </c>
      <c r="AG10" s="439">
        <f t="shared" si="12"/>
        <v>0</v>
      </c>
      <c r="AI10" s="57" t="s">
        <v>102</v>
      </c>
      <c r="AJ10" s="68"/>
      <c r="AK10" s="560">
        <f>AK79</f>
        <v>0</v>
      </c>
      <c r="AL10" s="561">
        <f t="shared" ref="AL10:AW10" si="13">AL79</f>
        <v>0</v>
      </c>
      <c r="AM10" s="562">
        <f t="shared" si="13"/>
        <v>0</v>
      </c>
      <c r="AN10" s="562">
        <f t="shared" si="13"/>
        <v>0</v>
      </c>
      <c r="AO10" s="562">
        <f t="shared" si="13"/>
        <v>0</v>
      </c>
      <c r="AP10" s="562">
        <f t="shared" si="13"/>
        <v>0</v>
      </c>
      <c r="AQ10" s="562">
        <f t="shared" si="13"/>
        <v>0</v>
      </c>
      <c r="AR10" s="562">
        <f t="shared" si="13"/>
        <v>0</v>
      </c>
      <c r="AS10" s="562">
        <f t="shared" si="13"/>
        <v>0</v>
      </c>
      <c r="AT10" s="562">
        <f t="shared" si="13"/>
        <v>0</v>
      </c>
      <c r="AU10" s="562">
        <f t="shared" si="13"/>
        <v>0</v>
      </c>
      <c r="AV10" s="562">
        <f t="shared" si="13"/>
        <v>0</v>
      </c>
      <c r="AW10" s="563">
        <f t="shared" si="13"/>
        <v>0</v>
      </c>
      <c r="AY10" s="57" t="s">
        <v>102</v>
      </c>
      <c r="AZ10" s="68"/>
      <c r="BA10" s="510">
        <f>BA79</f>
        <v>0</v>
      </c>
      <c r="BB10" s="511">
        <f t="shared" ref="BB10:BM10" si="14">BB79</f>
        <v>0</v>
      </c>
      <c r="BC10" s="438">
        <f t="shared" si="14"/>
        <v>0</v>
      </c>
      <c r="BD10" s="438">
        <f t="shared" si="14"/>
        <v>0</v>
      </c>
      <c r="BE10" s="438">
        <f t="shared" si="14"/>
        <v>0</v>
      </c>
      <c r="BF10" s="438">
        <f t="shared" si="14"/>
        <v>0</v>
      </c>
      <c r="BG10" s="438">
        <f t="shared" si="14"/>
        <v>0</v>
      </c>
      <c r="BH10" s="438">
        <f t="shared" si="14"/>
        <v>0</v>
      </c>
      <c r="BI10" s="438">
        <f t="shared" si="14"/>
        <v>0</v>
      </c>
      <c r="BJ10" s="438">
        <f t="shared" si="14"/>
        <v>0</v>
      </c>
      <c r="BK10" s="438">
        <f t="shared" si="14"/>
        <v>0</v>
      </c>
      <c r="BL10" s="438">
        <f t="shared" si="14"/>
        <v>0</v>
      </c>
      <c r="BM10" s="439">
        <f t="shared" si="14"/>
        <v>0</v>
      </c>
      <c r="CI10" s="27"/>
      <c r="CJ10" s="57" t="s">
        <v>102</v>
      </c>
      <c r="CK10" s="68"/>
      <c r="CL10" s="602">
        <f t="shared" si="8"/>
        <v>0</v>
      </c>
      <c r="CM10" s="603">
        <f t="shared" si="3"/>
        <v>0</v>
      </c>
      <c r="CN10" s="604">
        <f t="shared" si="3"/>
        <v>0</v>
      </c>
      <c r="CO10" s="604">
        <f t="shared" si="3"/>
        <v>0</v>
      </c>
      <c r="CP10" s="604">
        <f t="shared" si="3"/>
        <v>0</v>
      </c>
      <c r="CQ10" s="604">
        <f t="shared" si="3"/>
        <v>0</v>
      </c>
      <c r="CR10" s="604">
        <f t="shared" si="3"/>
        <v>0</v>
      </c>
      <c r="CS10" s="604">
        <f t="shared" si="3"/>
        <v>0</v>
      </c>
      <c r="CT10" s="604">
        <f t="shared" si="3"/>
        <v>0</v>
      </c>
      <c r="CU10" s="604">
        <f t="shared" si="3"/>
        <v>0</v>
      </c>
      <c r="CV10" s="604">
        <f t="shared" si="3"/>
        <v>0</v>
      </c>
      <c r="CW10" s="604">
        <f t="shared" si="3"/>
        <v>0</v>
      </c>
      <c r="CX10" s="605">
        <f t="shared" si="3"/>
        <v>0</v>
      </c>
    </row>
    <row r="11" spans="2:103" ht="13.5" customHeight="1" x14ac:dyDescent="0.2">
      <c r="B11" s="57" t="s">
        <v>103</v>
      </c>
      <c r="C11" s="68"/>
      <c r="D11" s="436">
        <f>'3 Saalis'!D13</f>
        <v>0</v>
      </c>
      <c r="E11" s="437">
        <f>'3 Saalis'!E13</f>
        <v>0</v>
      </c>
      <c r="F11" s="438">
        <f>'3 Saalis'!F13</f>
        <v>0</v>
      </c>
      <c r="G11" s="438">
        <f>'3 Saalis'!G13</f>
        <v>0</v>
      </c>
      <c r="H11" s="438">
        <f>'3 Saalis'!H13</f>
        <v>0</v>
      </c>
      <c r="I11" s="438">
        <f>'3 Saalis'!I13</f>
        <v>0</v>
      </c>
      <c r="J11" s="438">
        <f>'3 Saalis'!J13</f>
        <v>0</v>
      </c>
      <c r="K11" s="438">
        <f>'3 Saalis'!K13</f>
        <v>0</v>
      </c>
      <c r="L11" s="438">
        <f>'3 Saalis'!L13</f>
        <v>0</v>
      </c>
      <c r="M11" s="438">
        <f>'3 Saalis'!M13</f>
        <v>0</v>
      </c>
      <c r="N11" s="438">
        <f>'3 Saalis'!N13</f>
        <v>0</v>
      </c>
      <c r="O11" s="438">
        <f>'3 Saalis'!O13</f>
        <v>0</v>
      </c>
      <c r="P11" s="439">
        <f>'3 Saalis'!P13</f>
        <v>0</v>
      </c>
      <c r="S11" s="57" t="s">
        <v>103</v>
      </c>
      <c r="T11" s="68"/>
      <c r="U11" s="510">
        <f t="shared" si="4"/>
        <v>0</v>
      </c>
      <c r="V11" s="511">
        <f t="shared" ref="V11:AG11" si="15">V105</f>
        <v>0</v>
      </c>
      <c r="W11" s="438">
        <f t="shared" si="15"/>
        <v>0</v>
      </c>
      <c r="X11" s="438">
        <f t="shared" si="15"/>
        <v>0</v>
      </c>
      <c r="Y11" s="438">
        <f t="shared" si="15"/>
        <v>0</v>
      </c>
      <c r="Z11" s="438">
        <f t="shared" si="15"/>
        <v>0</v>
      </c>
      <c r="AA11" s="438">
        <f t="shared" si="15"/>
        <v>0</v>
      </c>
      <c r="AB11" s="438">
        <f t="shared" si="15"/>
        <v>0</v>
      </c>
      <c r="AC11" s="438">
        <f t="shared" si="15"/>
        <v>0</v>
      </c>
      <c r="AD11" s="438">
        <f t="shared" si="15"/>
        <v>0</v>
      </c>
      <c r="AE11" s="438">
        <f t="shared" si="15"/>
        <v>0</v>
      </c>
      <c r="AF11" s="438">
        <f t="shared" si="15"/>
        <v>0</v>
      </c>
      <c r="AG11" s="439">
        <f t="shared" si="15"/>
        <v>0</v>
      </c>
      <c r="AI11" s="57" t="s">
        <v>103</v>
      </c>
      <c r="AJ11" s="68"/>
      <c r="AK11" s="560">
        <f t="shared" ref="AK11:AW11" si="16">AK105</f>
        <v>0</v>
      </c>
      <c r="AL11" s="561">
        <f t="shared" si="16"/>
        <v>0</v>
      </c>
      <c r="AM11" s="562">
        <f t="shared" si="16"/>
        <v>0</v>
      </c>
      <c r="AN11" s="562">
        <f t="shared" si="16"/>
        <v>0</v>
      </c>
      <c r="AO11" s="562">
        <f t="shared" si="16"/>
        <v>0</v>
      </c>
      <c r="AP11" s="562">
        <f t="shared" si="16"/>
        <v>0</v>
      </c>
      <c r="AQ11" s="562">
        <f t="shared" si="16"/>
        <v>0</v>
      </c>
      <c r="AR11" s="562">
        <f t="shared" si="16"/>
        <v>0</v>
      </c>
      <c r="AS11" s="562">
        <f t="shared" si="16"/>
        <v>0</v>
      </c>
      <c r="AT11" s="562">
        <f t="shared" si="16"/>
        <v>0</v>
      </c>
      <c r="AU11" s="562">
        <f t="shared" si="16"/>
        <v>0</v>
      </c>
      <c r="AV11" s="562">
        <f t="shared" si="16"/>
        <v>0</v>
      </c>
      <c r="AW11" s="563">
        <f t="shared" si="16"/>
        <v>0</v>
      </c>
      <c r="AY11" s="57" t="s">
        <v>103</v>
      </c>
      <c r="AZ11" s="68"/>
      <c r="BA11" s="510">
        <f t="shared" ref="BA11:BM11" si="17">BA105</f>
        <v>0</v>
      </c>
      <c r="BB11" s="511">
        <f t="shared" si="17"/>
        <v>0</v>
      </c>
      <c r="BC11" s="438">
        <f t="shared" si="17"/>
        <v>0</v>
      </c>
      <c r="BD11" s="438">
        <f t="shared" si="17"/>
        <v>0</v>
      </c>
      <c r="BE11" s="438">
        <f t="shared" si="17"/>
        <v>0</v>
      </c>
      <c r="BF11" s="438">
        <f t="shared" si="17"/>
        <v>0</v>
      </c>
      <c r="BG11" s="438">
        <f t="shared" si="17"/>
        <v>0</v>
      </c>
      <c r="BH11" s="438">
        <f t="shared" si="17"/>
        <v>0</v>
      </c>
      <c r="BI11" s="438">
        <f t="shared" si="17"/>
        <v>0</v>
      </c>
      <c r="BJ11" s="438">
        <f t="shared" si="17"/>
        <v>0</v>
      </c>
      <c r="BK11" s="438">
        <f t="shared" si="17"/>
        <v>0</v>
      </c>
      <c r="BL11" s="438">
        <f t="shared" si="17"/>
        <v>0</v>
      </c>
      <c r="BM11" s="439">
        <f t="shared" si="17"/>
        <v>0</v>
      </c>
      <c r="CI11" s="27"/>
      <c r="CJ11" s="57" t="s">
        <v>103</v>
      </c>
      <c r="CK11" s="68"/>
      <c r="CL11" s="602">
        <f t="shared" si="8"/>
        <v>0</v>
      </c>
      <c r="CM11" s="603">
        <f t="shared" si="3"/>
        <v>0</v>
      </c>
      <c r="CN11" s="604">
        <f t="shared" si="3"/>
        <v>0</v>
      </c>
      <c r="CO11" s="604">
        <f t="shared" si="3"/>
        <v>0</v>
      </c>
      <c r="CP11" s="604">
        <f t="shared" si="3"/>
        <v>0</v>
      </c>
      <c r="CQ11" s="604">
        <f t="shared" si="3"/>
        <v>0</v>
      </c>
      <c r="CR11" s="604">
        <f t="shared" si="3"/>
        <v>0</v>
      </c>
      <c r="CS11" s="604">
        <f t="shared" si="3"/>
        <v>0</v>
      </c>
      <c r="CT11" s="604">
        <f t="shared" si="3"/>
        <v>0</v>
      </c>
      <c r="CU11" s="604">
        <f t="shared" si="3"/>
        <v>0</v>
      </c>
      <c r="CV11" s="604">
        <f t="shared" si="3"/>
        <v>0</v>
      </c>
      <c r="CW11" s="604">
        <f t="shared" si="3"/>
        <v>0</v>
      </c>
      <c r="CX11" s="605">
        <f t="shared" si="3"/>
        <v>0</v>
      </c>
    </row>
    <row r="12" spans="2:103" ht="13.5" customHeight="1" x14ac:dyDescent="0.2">
      <c r="B12" s="57" t="s">
        <v>104</v>
      </c>
      <c r="C12" s="68"/>
      <c r="D12" s="436">
        <f>'3 Saalis'!D14</f>
        <v>0</v>
      </c>
      <c r="E12" s="437">
        <f>'3 Saalis'!E14</f>
        <v>0</v>
      </c>
      <c r="F12" s="438">
        <f>'3 Saalis'!F14</f>
        <v>0</v>
      </c>
      <c r="G12" s="438">
        <f>'3 Saalis'!G14</f>
        <v>0</v>
      </c>
      <c r="H12" s="438">
        <f>'3 Saalis'!H14</f>
        <v>0</v>
      </c>
      <c r="I12" s="438">
        <f>'3 Saalis'!I14</f>
        <v>0</v>
      </c>
      <c r="J12" s="438">
        <f>'3 Saalis'!J14</f>
        <v>0</v>
      </c>
      <c r="K12" s="438">
        <f>'3 Saalis'!K14</f>
        <v>0</v>
      </c>
      <c r="L12" s="438">
        <f>'3 Saalis'!L14</f>
        <v>0</v>
      </c>
      <c r="M12" s="438">
        <f>'3 Saalis'!M14</f>
        <v>0</v>
      </c>
      <c r="N12" s="438">
        <f>'3 Saalis'!N14</f>
        <v>0</v>
      </c>
      <c r="O12" s="438">
        <f>'3 Saalis'!O14</f>
        <v>0</v>
      </c>
      <c r="P12" s="439">
        <f>'3 Saalis'!P14</f>
        <v>0</v>
      </c>
      <c r="S12" s="57" t="s">
        <v>104</v>
      </c>
      <c r="T12" s="68"/>
      <c r="U12" s="510">
        <f t="shared" si="4"/>
        <v>0</v>
      </c>
      <c r="V12" s="511">
        <f t="shared" ref="V12:AG12" si="18">V117</f>
        <v>0</v>
      </c>
      <c r="W12" s="438">
        <f t="shared" si="18"/>
        <v>0</v>
      </c>
      <c r="X12" s="438">
        <f t="shared" si="18"/>
        <v>0</v>
      </c>
      <c r="Y12" s="438">
        <f t="shared" si="18"/>
        <v>0</v>
      </c>
      <c r="Z12" s="438">
        <f t="shared" si="18"/>
        <v>0</v>
      </c>
      <c r="AA12" s="438">
        <f t="shared" si="18"/>
        <v>0</v>
      </c>
      <c r="AB12" s="438">
        <f t="shared" si="18"/>
        <v>0</v>
      </c>
      <c r="AC12" s="438">
        <f t="shared" si="18"/>
        <v>0</v>
      </c>
      <c r="AD12" s="438">
        <f t="shared" si="18"/>
        <v>0</v>
      </c>
      <c r="AE12" s="438">
        <f t="shared" si="18"/>
        <v>0</v>
      </c>
      <c r="AF12" s="438">
        <f t="shared" si="18"/>
        <v>0</v>
      </c>
      <c r="AG12" s="439">
        <f t="shared" si="18"/>
        <v>0</v>
      </c>
      <c r="AI12" s="57" t="s">
        <v>104</v>
      </c>
      <c r="AJ12" s="68"/>
      <c r="AK12" s="560">
        <f t="shared" ref="AK12:AW12" si="19">AK117</f>
        <v>0</v>
      </c>
      <c r="AL12" s="561">
        <f t="shared" si="19"/>
        <v>0</v>
      </c>
      <c r="AM12" s="562">
        <f t="shared" si="19"/>
        <v>0</v>
      </c>
      <c r="AN12" s="562">
        <f t="shared" si="19"/>
        <v>0</v>
      </c>
      <c r="AO12" s="562">
        <f t="shared" si="19"/>
        <v>0</v>
      </c>
      <c r="AP12" s="562">
        <f t="shared" si="19"/>
        <v>0</v>
      </c>
      <c r="AQ12" s="562">
        <f t="shared" si="19"/>
        <v>0</v>
      </c>
      <c r="AR12" s="562">
        <f t="shared" si="19"/>
        <v>0</v>
      </c>
      <c r="AS12" s="562">
        <f t="shared" si="19"/>
        <v>0</v>
      </c>
      <c r="AT12" s="562">
        <f t="shared" si="19"/>
        <v>0</v>
      </c>
      <c r="AU12" s="562">
        <f t="shared" si="19"/>
        <v>0</v>
      </c>
      <c r="AV12" s="562">
        <f t="shared" si="19"/>
        <v>0</v>
      </c>
      <c r="AW12" s="563">
        <f t="shared" si="19"/>
        <v>0</v>
      </c>
      <c r="AY12" s="57" t="s">
        <v>104</v>
      </c>
      <c r="AZ12" s="68"/>
      <c r="BA12" s="510">
        <f t="shared" ref="BA12:BM12" si="20">BA117</f>
        <v>0</v>
      </c>
      <c r="BB12" s="511">
        <f t="shared" si="20"/>
        <v>0</v>
      </c>
      <c r="BC12" s="438">
        <f t="shared" si="20"/>
        <v>0</v>
      </c>
      <c r="BD12" s="438">
        <f t="shared" si="20"/>
        <v>0</v>
      </c>
      <c r="BE12" s="438">
        <f t="shared" si="20"/>
        <v>0</v>
      </c>
      <c r="BF12" s="438">
        <f t="shared" si="20"/>
        <v>0</v>
      </c>
      <c r="BG12" s="438">
        <f t="shared" si="20"/>
        <v>0</v>
      </c>
      <c r="BH12" s="438">
        <f t="shared" si="20"/>
        <v>0</v>
      </c>
      <c r="BI12" s="438">
        <f t="shared" si="20"/>
        <v>0</v>
      </c>
      <c r="BJ12" s="438">
        <f t="shared" si="20"/>
        <v>0</v>
      </c>
      <c r="BK12" s="438">
        <f t="shared" si="20"/>
        <v>0</v>
      </c>
      <c r="BL12" s="438">
        <f t="shared" si="20"/>
        <v>0</v>
      </c>
      <c r="BM12" s="439">
        <f t="shared" si="20"/>
        <v>0</v>
      </c>
      <c r="CI12" s="27"/>
      <c r="CJ12" s="57" t="s">
        <v>104</v>
      </c>
      <c r="CK12" s="68"/>
      <c r="CL12" s="602">
        <f t="shared" si="8"/>
        <v>0</v>
      </c>
      <c r="CM12" s="603">
        <f t="shared" si="3"/>
        <v>0</v>
      </c>
      <c r="CN12" s="604">
        <f t="shared" si="3"/>
        <v>0</v>
      </c>
      <c r="CO12" s="604">
        <f t="shared" si="3"/>
        <v>0</v>
      </c>
      <c r="CP12" s="604">
        <f t="shared" si="3"/>
        <v>0</v>
      </c>
      <c r="CQ12" s="604">
        <f t="shared" si="3"/>
        <v>0</v>
      </c>
      <c r="CR12" s="604">
        <f t="shared" si="3"/>
        <v>0</v>
      </c>
      <c r="CS12" s="604">
        <f t="shared" si="3"/>
        <v>0</v>
      </c>
      <c r="CT12" s="604">
        <f t="shared" si="3"/>
        <v>0</v>
      </c>
      <c r="CU12" s="604">
        <f t="shared" si="3"/>
        <v>0</v>
      </c>
      <c r="CV12" s="604">
        <f t="shared" si="3"/>
        <v>0</v>
      </c>
      <c r="CW12" s="604">
        <f t="shared" si="3"/>
        <v>0</v>
      </c>
      <c r="CX12" s="605">
        <f t="shared" si="3"/>
        <v>0</v>
      </c>
    </row>
    <row r="13" spans="2:103" ht="13.5" customHeight="1" x14ac:dyDescent="0.2">
      <c r="B13" s="57" t="s">
        <v>105</v>
      </c>
      <c r="C13" s="68"/>
      <c r="D13" s="436">
        <f>'3 Saalis'!D15</f>
        <v>0</v>
      </c>
      <c r="E13" s="437">
        <f>'3 Saalis'!E15</f>
        <v>0</v>
      </c>
      <c r="F13" s="438">
        <f>'3 Saalis'!F15</f>
        <v>0</v>
      </c>
      <c r="G13" s="438">
        <f>'3 Saalis'!G15</f>
        <v>0</v>
      </c>
      <c r="H13" s="438">
        <f>'3 Saalis'!H15</f>
        <v>0</v>
      </c>
      <c r="I13" s="438">
        <f>'3 Saalis'!I15</f>
        <v>0</v>
      </c>
      <c r="J13" s="438">
        <f>'3 Saalis'!J15</f>
        <v>0</v>
      </c>
      <c r="K13" s="438">
        <f>'3 Saalis'!K15</f>
        <v>0</v>
      </c>
      <c r="L13" s="438">
        <f>'3 Saalis'!L15</f>
        <v>0</v>
      </c>
      <c r="M13" s="438">
        <f>'3 Saalis'!M15</f>
        <v>0</v>
      </c>
      <c r="N13" s="438">
        <f>'3 Saalis'!N15</f>
        <v>0</v>
      </c>
      <c r="O13" s="438">
        <f>'3 Saalis'!O15</f>
        <v>0</v>
      </c>
      <c r="P13" s="439">
        <f>'3 Saalis'!P15</f>
        <v>0</v>
      </c>
      <c r="S13" s="57" t="s">
        <v>105</v>
      </c>
      <c r="T13" s="68"/>
      <c r="U13" s="510">
        <f t="shared" si="4"/>
        <v>0</v>
      </c>
      <c r="V13" s="511">
        <f t="shared" ref="V13:AG13" si="21">V133</f>
        <v>0</v>
      </c>
      <c r="W13" s="438">
        <f t="shared" si="21"/>
        <v>0</v>
      </c>
      <c r="X13" s="438">
        <f t="shared" si="21"/>
        <v>0</v>
      </c>
      <c r="Y13" s="438">
        <f t="shared" si="21"/>
        <v>0</v>
      </c>
      <c r="Z13" s="438">
        <f t="shared" si="21"/>
        <v>0</v>
      </c>
      <c r="AA13" s="438">
        <f t="shared" si="21"/>
        <v>0</v>
      </c>
      <c r="AB13" s="438">
        <f t="shared" si="21"/>
        <v>0</v>
      </c>
      <c r="AC13" s="438">
        <f t="shared" si="21"/>
        <v>0</v>
      </c>
      <c r="AD13" s="438">
        <f t="shared" si="21"/>
        <v>0</v>
      </c>
      <c r="AE13" s="438">
        <f t="shared" si="21"/>
        <v>0</v>
      </c>
      <c r="AF13" s="438">
        <f t="shared" si="21"/>
        <v>0</v>
      </c>
      <c r="AG13" s="439">
        <f t="shared" si="21"/>
        <v>0</v>
      </c>
      <c r="AI13" s="57" t="s">
        <v>105</v>
      </c>
      <c r="AJ13" s="68"/>
      <c r="AK13" s="560">
        <f t="shared" ref="AK13:AW13" si="22">AK133</f>
        <v>0</v>
      </c>
      <c r="AL13" s="561">
        <f t="shared" si="22"/>
        <v>0</v>
      </c>
      <c r="AM13" s="562">
        <f t="shared" si="22"/>
        <v>0</v>
      </c>
      <c r="AN13" s="562">
        <f t="shared" si="22"/>
        <v>0</v>
      </c>
      <c r="AO13" s="562">
        <f t="shared" si="22"/>
        <v>0</v>
      </c>
      <c r="AP13" s="562">
        <f t="shared" si="22"/>
        <v>0</v>
      </c>
      <c r="AQ13" s="562">
        <f t="shared" si="22"/>
        <v>0</v>
      </c>
      <c r="AR13" s="562">
        <f t="shared" si="22"/>
        <v>0</v>
      </c>
      <c r="AS13" s="562">
        <f t="shared" si="22"/>
        <v>0</v>
      </c>
      <c r="AT13" s="562">
        <f t="shared" si="22"/>
        <v>0</v>
      </c>
      <c r="AU13" s="562">
        <f t="shared" si="22"/>
        <v>0</v>
      </c>
      <c r="AV13" s="562">
        <f t="shared" si="22"/>
        <v>0</v>
      </c>
      <c r="AW13" s="563">
        <f t="shared" si="22"/>
        <v>0</v>
      </c>
      <c r="AY13" s="57" t="s">
        <v>105</v>
      </c>
      <c r="AZ13" s="68"/>
      <c r="BA13" s="510">
        <f t="shared" ref="BA13:BM13" si="23">BA133</f>
        <v>0</v>
      </c>
      <c r="BB13" s="511">
        <f t="shared" si="23"/>
        <v>0</v>
      </c>
      <c r="BC13" s="438">
        <f t="shared" si="23"/>
        <v>0</v>
      </c>
      <c r="BD13" s="438">
        <f t="shared" si="23"/>
        <v>0</v>
      </c>
      <c r="BE13" s="438">
        <f t="shared" si="23"/>
        <v>0</v>
      </c>
      <c r="BF13" s="438">
        <f t="shared" si="23"/>
        <v>0</v>
      </c>
      <c r="BG13" s="438">
        <f t="shared" si="23"/>
        <v>0</v>
      </c>
      <c r="BH13" s="438">
        <f t="shared" si="23"/>
        <v>0</v>
      </c>
      <c r="BI13" s="438">
        <f t="shared" si="23"/>
        <v>0</v>
      </c>
      <c r="BJ13" s="438">
        <f t="shared" si="23"/>
        <v>0</v>
      </c>
      <c r="BK13" s="438">
        <f t="shared" si="23"/>
        <v>0</v>
      </c>
      <c r="BL13" s="438">
        <f t="shared" si="23"/>
        <v>0</v>
      </c>
      <c r="BM13" s="439">
        <f t="shared" si="23"/>
        <v>0</v>
      </c>
      <c r="CI13" s="27"/>
      <c r="CJ13" s="57" t="s">
        <v>105</v>
      </c>
      <c r="CK13" s="68"/>
      <c r="CL13" s="602">
        <f t="shared" si="8"/>
        <v>0</v>
      </c>
      <c r="CM13" s="603">
        <f t="shared" si="3"/>
        <v>0</v>
      </c>
      <c r="CN13" s="604">
        <f t="shared" si="3"/>
        <v>0</v>
      </c>
      <c r="CO13" s="604">
        <f t="shared" si="3"/>
        <v>0</v>
      </c>
      <c r="CP13" s="604">
        <f t="shared" si="3"/>
        <v>0</v>
      </c>
      <c r="CQ13" s="604">
        <f t="shared" si="3"/>
        <v>0</v>
      </c>
      <c r="CR13" s="604">
        <f t="shared" si="3"/>
        <v>0</v>
      </c>
      <c r="CS13" s="604">
        <f t="shared" si="3"/>
        <v>0</v>
      </c>
      <c r="CT13" s="604">
        <f t="shared" si="3"/>
        <v>0</v>
      </c>
      <c r="CU13" s="604">
        <f t="shared" si="3"/>
        <v>0</v>
      </c>
      <c r="CV13" s="604">
        <f t="shared" si="3"/>
        <v>0</v>
      </c>
      <c r="CW13" s="604">
        <f t="shared" si="3"/>
        <v>0</v>
      </c>
      <c r="CX13" s="605">
        <f t="shared" si="3"/>
        <v>0</v>
      </c>
    </row>
    <row r="14" spans="2:103" ht="13.5" customHeight="1" x14ac:dyDescent="0.2">
      <c r="B14" s="57" t="s">
        <v>106</v>
      </c>
      <c r="C14" s="68"/>
      <c r="D14" s="436">
        <f>'3 Saalis'!D16</f>
        <v>0</v>
      </c>
      <c r="E14" s="437">
        <f>'3 Saalis'!E16</f>
        <v>0</v>
      </c>
      <c r="F14" s="438">
        <f>'3 Saalis'!F16</f>
        <v>0</v>
      </c>
      <c r="G14" s="438">
        <f>'3 Saalis'!G16</f>
        <v>0</v>
      </c>
      <c r="H14" s="438">
        <f>'3 Saalis'!H16</f>
        <v>0</v>
      </c>
      <c r="I14" s="438">
        <f>'3 Saalis'!I16</f>
        <v>0</v>
      </c>
      <c r="J14" s="438">
        <f>'3 Saalis'!J16</f>
        <v>0</v>
      </c>
      <c r="K14" s="438">
        <f>'3 Saalis'!K16</f>
        <v>0</v>
      </c>
      <c r="L14" s="438">
        <f>'3 Saalis'!L16</f>
        <v>0</v>
      </c>
      <c r="M14" s="438">
        <f>'3 Saalis'!M16</f>
        <v>0</v>
      </c>
      <c r="N14" s="438">
        <f>'3 Saalis'!N16</f>
        <v>0</v>
      </c>
      <c r="O14" s="438">
        <f>'3 Saalis'!O16</f>
        <v>0</v>
      </c>
      <c r="P14" s="439">
        <f>'3 Saalis'!P16</f>
        <v>0</v>
      </c>
      <c r="S14" s="57" t="s">
        <v>106</v>
      </c>
      <c r="T14" s="68"/>
      <c r="U14" s="510">
        <f t="shared" si="4"/>
        <v>0</v>
      </c>
      <c r="V14" s="511">
        <f t="shared" ref="V14:AG14" si="24">V143</f>
        <v>0</v>
      </c>
      <c r="W14" s="438">
        <f t="shared" si="24"/>
        <v>0</v>
      </c>
      <c r="X14" s="438">
        <f t="shared" si="24"/>
        <v>0</v>
      </c>
      <c r="Y14" s="438">
        <f t="shared" si="24"/>
        <v>0</v>
      </c>
      <c r="Z14" s="438">
        <f t="shared" si="24"/>
        <v>0</v>
      </c>
      <c r="AA14" s="438">
        <f t="shared" si="24"/>
        <v>0</v>
      </c>
      <c r="AB14" s="438">
        <f t="shared" si="24"/>
        <v>0</v>
      </c>
      <c r="AC14" s="438">
        <f t="shared" si="24"/>
        <v>0</v>
      </c>
      <c r="AD14" s="438">
        <f t="shared" si="24"/>
        <v>0</v>
      </c>
      <c r="AE14" s="438">
        <f t="shared" si="24"/>
        <v>0</v>
      </c>
      <c r="AF14" s="438">
        <f t="shared" si="24"/>
        <v>0</v>
      </c>
      <c r="AG14" s="439">
        <f t="shared" si="24"/>
        <v>0</v>
      </c>
      <c r="AI14" s="57" t="s">
        <v>106</v>
      </c>
      <c r="AJ14" s="68"/>
      <c r="AK14" s="560">
        <f t="shared" ref="AK14:AW14" si="25">AK143</f>
        <v>0</v>
      </c>
      <c r="AL14" s="561">
        <f t="shared" si="25"/>
        <v>0</v>
      </c>
      <c r="AM14" s="562">
        <f t="shared" si="25"/>
        <v>0</v>
      </c>
      <c r="AN14" s="562">
        <f t="shared" si="25"/>
        <v>0</v>
      </c>
      <c r="AO14" s="562">
        <f t="shared" si="25"/>
        <v>0</v>
      </c>
      <c r="AP14" s="562">
        <f>AP143</f>
        <v>0</v>
      </c>
      <c r="AQ14" s="562">
        <f t="shared" si="25"/>
        <v>0</v>
      </c>
      <c r="AR14" s="562">
        <f t="shared" si="25"/>
        <v>0</v>
      </c>
      <c r="AS14" s="562">
        <f t="shared" si="25"/>
        <v>0</v>
      </c>
      <c r="AT14" s="562">
        <f t="shared" si="25"/>
        <v>0</v>
      </c>
      <c r="AU14" s="562">
        <f t="shared" si="25"/>
        <v>0</v>
      </c>
      <c r="AV14" s="562">
        <f t="shared" si="25"/>
        <v>0</v>
      </c>
      <c r="AW14" s="563">
        <f t="shared" si="25"/>
        <v>0</v>
      </c>
      <c r="AY14" s="57" t="s">
        <v>106</v>
      </c>
      <c r="AZ14" s="68"/>
      <c r="BA14" s="510">
        <f t="shared" ref="BA14:BM14" si="26">BA143</f>
        <v>0</v>
      </c>
      <c r="BB14" s="511">
        <f t="shared" si="26"/>
        <v>0</v>
      </c>
      <c r="BC14" s="438">
        <f t="shared" si="26"/>
        <v>0</v>
      </c>
      <c r="BD14" s="438">
        <f t="shared" si="26"/>
        <v>0</v>
      </c>
      <c r="BE14" s="438">
        <f t="shared" si="26"/>
        <v>0</v>
      </c>
      <c r="BF14" s="438">
        <f t="shared" si="26"/>
        <v>0</v>
      </c>
      <c r="BG14" s="438">
        <f t="shared" si="26"/>
        <v>0</v>
      </c>
      <c r="BH14" s="438">
        <f t="shared" si="26"/>
        <v>0</v>
      </c>
      <c r="BI14" s="438">
        <f t="shared" si="26"/>
        <v>0</v>
      </c>
      <c r="BJ14" s="438">
        <f t="shared" si="26"/>
        <v>0</v>
      </c>
      <c r="BK14" s="438">
        <f t="shared" si="26"/>
        <v>0</v>
      </c>
      <c r="BL14" s="438">
        <f t="shared" si="26"/>
        <v>0</v>
      </c>
      <c r="BM14" s="439">
        <f t="shared" si="26"/>
        <v>0</v>
      </c>
      <c r="CI14" s="27"/>
      <c r="CJ14" s="57" t="s">
        <v>106</v>
      </c>
      <c r="CK14" s="68"/>
      <c r="CL14" s="602">
        <f t="shared" si="8"/>
        <v>0</v>
      </c>
      <c r="CM14" s="603">
        <f t="shared" si="3"/>
        <v>0</v>
      </c>
      <c r="CN14" s="604">
        <f t="shared" si="3"/>
        <v>0</v>
      </c>
      <c r="CO14" s="604">
        <f t="shared" si="3"/>
        <v>0</v>
      </c>
      <c r="CP14" s="604">
        <f t="shared" si="3"/>
        <v>0</v>
      </c>
      <c r="CQ14" s="604">
        <f t="shared" si="3"/>
        <v>0</v>
      </c>
      <c r="CR14" s="604">
        <f t="shared" si="3"/>
        <v>0</v>
      </c>
      <c r="CS14" s="604">
        <f t="shared" si="3"/>
        <v>0</v>
      </c>
      <c r="CT14" s="604">
        <f t="shared" si="3"/>
        <v>0</v>
      </c>
      <c r="CU14" s="604">
        <f t="shared" si="3"/>
        <v>0</v>
      </c>
      <c r="CV14" s="604">
        <f t="shared" si="3"/>
        <v>0</v>
      </c>
      <c r="CW14" s="604">
        <f t="shared" si="3"/>
        <v>0</v>
      </c>
      <c r="CX14" s="605">
        <f t="shared" si="3"/>
        <v>0</v>
      </c>
    </row>
    <row r="15" spans="2:103" ht="13.5" customHeight="1" x14ac:dyDescent="0.2">
      <c r="B15" s="57" t="s">
        <v>37</v>
      </c>
      <c r="C15" s="68"/>
      <c r="D15" s="436">
        <f>'3 Saalis'!D17</f>
        <v>0</v>
      </c>
      <c r="E15" s="437">
        <f>'3 Saalis'!E17</f>
        <v>0</v>
      </c>
      <c r="F15" s="438">
        <f>'3 Saalis'!F17</f>
        <v>0</v>
      </c>
      <c r="G15" s="438">
        <f>'3 Saalis'!G17</f>
        <v>0</v>
      </c>
      <c r="H15" s="438">
        <f>'3 Saalis'!H17</f>
        <v>0</v>
      </c>
      <c r="I15" s="438">
        <f>'3 Saalis'!I17</f>
        <v>0</v>
      </c>
      <c r="J15" s="438">
        <f>'3 Saalis'!J17</f>
        <v>0</v>
      </c>
      <c r="K15" s="438">
        <f>'3 Saalis'!K17</f>
        <v>0</v>
      </c>
      <c r="L15" s="438">
        <f>'3 Saalis'!L17</f>
        <v>0</v>
      </c>
      <c r="M15" s="438">
        <f>'3 Saalis'!M17</f>
        <v>0</v>
      </c>
      <c r="N15" s="438">
        <f>'3 Saalis'!N17</f>
        <v>0</v>
      </c>
      <c r="O15" s="438">
        <f>'3 Saalis'!O17</f>
        <v>0</v>
      </c>
      <c r="P15" s="439">
        <f>'3 Saalis'!P17</f>
        <v>0</v>
      </c>
      <c r="S15" s="57" t="s">
        <v>37</v>
      </c>
      <c r="T15" s="68"/>
      <c r="U15" s="510">
        <f t="shared" si="4"/>
        <v>0</v>
      </c>
      <c r="V15" s="511">
        <f t="shared" ref="V15:AG15" si="27">V157</f>
        <v>0</v>
      </c>
      <c r="W15" s="438">
        <f t="shared" si="27"/>
        <v>0</v>
      </c>
      <c r="X15" s="438">
        <f t="shared" si="27"/>
        <v>0</v>
      </c>
      <c r="Y15" s="438">
        <f t="shared" si="27"/>
        <v>0</v>
      </c>
      <c r="Z15" s="438">
        <f t="shared" si="27"/>
        <v>0</v>
      </c>
      <c r="AA15" s="438">
        <f t="shared" si="27"/>
        <v>0</v>
      </c>
      <c r="AB15" s="438">
        <f t="shared" si="27"/>
        <v>0</v>
      </c>
      <c r="AC15" s="438">
        <f t="shared" si="27"/>
        <v>0</v>
      </c>
      <c r="AD15" s="438">
        <f t="shared" si="27"/>
        <v>0</v>
      </c>
      <c r="AE15" s="438">
        <f t="shared" si="27"/>
        <v>0</v>
      </c>
      <c r="AF15" s="438">
        <f t="shared" si="27"/>
        <v>0</v>
      </c>
      <c r="AG15" s="439">
        <f t="shared" si="27"/>
        <v>0</v>
      </c>
      <c r="AI15" s="57" t="s">
        <v>37</v>
      </c>
      <c r="AJ15" s="68"/>
      <c r="AK15" s="560">
        <f t="shared" ref="AK15:AW15" si="28">AK157</f>
        <v>0</v>
      </c>
      <c r="AL15" s="561">
        <f t="shared" si="28"/>
        <v>0</v>
      </c>
      <c r="AM15" s="562">
        <f t="shared" si="28"/>
        <v>0</v>
      </c>
      <c r="AN15" s="562">
        <f t="shared" si="28"/>
        <v>0</v>
      </c>
      <c r="AO15" s="562">
        <f t="shared" si="28"/>
        <v>0</v>
      </c>
      <c r="AP15" s="562">
        <f t="shared" si="28"/>
        <v>0</v>
      </c>
      <c r="AQ15" s="562">
        <f t="shared" si="28"/>
        <v>0</v>
      </c>
      <c r="AR15" s="562">
        <f t="shared" si="28"/>
        <v>0</v>
      </c>
      <c r="AS15" s="562">
        <f t="shared" si="28"/>
        <v>0</v>
      </c>
      <c r="AT15" s="562">
        <f t="shared" si="28"/>
        <v>0</v>
      </c>
      <c r="AU15" s="562">
        <f t="shared" si="28"/>
        <v>0</v>
      </c>
      <c r="AV15" s="562">
        <f t="shared" si="28"/>
        <v>0</v>
      </c>
      <c r="AW15" s="563">
        <f t="shared" si="28"/>
        <v>0</v>
      </c>
      <c r="AY15" s="57" t="s">
        <v>37</v>
      </c>
      <c r="AZ15" s="68"/>
      <c r="BA15" s="510">
        <f t="shared" ref="BA15:BM15" si="29">BA157</f>
        <v>0</v>
      </c>
      <c r="BB15" s="511">
        <f t="shared" si="29"/>
        <v>0</v>
      </c>
      <c r="BC15" s="438">
        <f t="shared" si="29"/>
        <v>0</v>
      </c>
      <c r="BD15" s="438">
        <f t="shared" si="29"/>
        <v>0</v>
      </c>
      <c r="BE15" s="438">
        <f t="shared" si="29"/>
        <v>0</v>
      </c>
      <c r="BF15" s="438">
        <f t="shared" si="29"/>
        <v>0</v>
      </c>
      <c r="BG15" s="438">
        <f t="shared" si="29"/>
        <v>0</v>
      </c>
      <c r="BH15" s="438">
        <f t="shared" si="29"/>
        <v>0</v>
      </c>
      <c r="BI15" s="438">
        <f t="shared" si="29"/>
        <v>0</v>
      </c>
      <c r="BJ15" s="438">
        <f t="shared" si="29"/>
        <v>0</v>
      </c>
      <c r="BK15" s="438">
        <f t="shared" si="29"/>
        <v>0</v>
      </c>
      <c r="BL15" s="438">
        <f t="shared" si="29"/>
        <v>0</v>
      </c>
      <c r="BM15" s="439">
        <f t="shared" si="29"/>
        <v>0</v>
      </c>
      <c r="CI15" s="27"/>
      <c r="CJ15" s="57" t="s">
        <v>37</v>
      </c>
      <c r="CK15" s="68"/>
      <c r="CL15" s="602">
        <f t="shared" si="8"/>
        <v>0</v>
      </c>
      <c r="CM15" s="603">
        <f t="shared" si="3"/>
        <v>0</v>
      </c>
      <c r="CN15" s="604">
        <f t="shared" si="3"/>
        <v>0</v>
      </c>
      <c r="CO15" s="604">
        <f t="shared" si="3"/>
        <v>0</v>
      </c>
      <c r="CP15" s="604">
        <f t="shared" si="3"/>
        <v>0</v>
      </c>
      <c r="CQ15" s="604">
        <f t="shared" si="3"/>
        <v>0</v>
      </c>
      <c r="CR15" s="604">
        <f t="shared" si="3"/>
        <v>0</v>
      </c>
      <c r="CS15" s="604">
        <f t="shared" si="3"/>
        <v>0</v>
      </c>
      <c r="CT15" s="604">
        <f t="shared" si="3"/>
        <v>0</v>
      </c>
      <c r="CU15" s="604">
        <f t="shared" si="3"/>
        <v>0</v>
      </c>
      <c r="CV15" s="604">
        <f t="shared" si="3"/>
        <v>0</v>
      </c>
      <c r="CW15" s="604">
        <f t="shared" si="3"/>
        <v>0</v>
      </c>
      <c r="CX15" s="605">
        <f t="shared" si="3"/>
        <v>0</v>
      </c>
    </row>
    <row r="16" spans="2:103" ht="13.5" customHeight="1" x14ac:dyDescent="0.2">
      <c r="B16" s="57" t="s">
        <v>36</v>
      </c>
      <c r="C16" s="68"/>
      <c r="D16" s="436">
        <f>'3 Saalis'!D18</f>
        <v>0</v>
      </c>
      <c r="E16" s="437">
        <f>'3 Saalis'!E18</f>
        <v>0</v>
      </c>
      <c r="F16" s="438">
        <f>'3 Saalis'!F18</f>
        <v>0</v>
      </c>
      <c r="G16" s="438">
        <f>'3 Saalis'!G18</f>
        <v>0</v>
      </c>
      <c r="H16" s="438">
        <f>'3 Saalis'!H18</f>
        <v>0</v>
      </c>
      <c r="I16" s="438">
        <f>'3 Saalis'!I18</f>
        <v>0</v>
      </c>
      <c r="J16" s="438">
        <f>'3 Saalis'!J18</f>
        <v>0</v>
      </c>
      <c r="K16" s="438">
        <f>'3 Saalis'!K18</f>
        <v>0</v>
      </c>
      <c r="L16" s="438">
        <f>'3 Saalis'!L18</f>
        <v>0</v>
      </c>
      <c r="M16" s="438">
        <f>'3 Saalis'!M18</f>
        <v>0</v>
      </c>
      <c r="N16" s="438">
        <f>'3 Saalis'!N18</f>
        <v>0</v>
      </c>
      <c r="O16" s="438">
        <f>'3 Saalis'!O18</f>
        <v>0</v>
      </c>
      <c r="P16" s="439">
        <f>'3 Saalis'!P18</f>
        <v>0</v>
      </c>
      <c r="S16" s="57" t="s">
        <v>36</v>
      </c>
      <c r="T16" s="68"/>
      <c r="U16" s="510">
        <f t="shared" si="4"/>
        <v>0</v>
      </c>
      <c r="V16" s="511">
        <f t="shared" ref="V16:AG16" si="30">V171</f>
        <v>0</v>
      </c>
      <c r="W16" s="438">
        <f t="shared" si="30"/>
        <v>0</v>
      </c>
      <c r="X16" s="438">
        <f t="shared" si="30"/>
        <v>0</v>
      </c>
      <c r="Y16" s="438">
        <f t="shared" si="30"/>
        <v>0</v>
      </c>
      <c r="Z16" s="438">
        <f t="shared" si="30"/>
        <v>0</v>
      </c>
      <c r="AA16" s="438">
        <f t="shared" si="30"/>
        <v>0</v>
      </c>
      <c r="AB16" s="438">
        <f t="shared" si="30"/>
        <v>0</v>
      </c>
      <c r="AC16" s="438">
        <f t="shared" si="30"/>
        <v>0</v>
      </c>
      <c r="AD16" s="438">
        <f t="shared" si="30"/>
        <v>0</v>
      </c>
      <c r="AE16" s="438">
        <f t="shared" si="30"/>
        <v>0</v>
      </c>
      <c r="AF16" s="438">
        <f t="shared" si="30"/>
        <v>0</v>
      </c>
      <c r="AG16" s="439">
        <f t="shared" si="30"/>
        <v>0</v>
      </c>
      <c r="AI16" s="57" t="s">
        <v>36</v>
      </c>
      <c r="AJ16" s="68"/>
      <c r="AK16" s="560">
        <f t="shared" ref="AK16:AW16" si="31">AK171</f>
        <v>0</v>
      </c>
      <c r="AL16" s="561">
        <f t="shared" si="31"/>
        <v>0</v>
      </c>
      <c r="AM16" s="562">
        <f t="shared" si="31"/>
        <v>0</v>
      </c>
      <c r="AN16" s="562">
        <f t="shared" si="31"/>
        <v>0</v>
      </c>
      <c r="AO16" s="562">
        <f t="shared" si="31"/>
        <v>0</v>
      </c>
      <c r="AP16" s="562">
        <f t="shared" si="31"/>
        <v>0</v>
      </c>
      <c r="AQ16" s="562">
        <f t="shared" si="31"/>
        <v>0</v>
      </c>
      <c r="AR16" s="562">
        <f t="shared" si="31"/>
        <v>0</v>
      </c>
      <c r="AS16" s="562">
        <f t="shared" si="31"/>
        <v>0</v>
      </c>
      <c r="AT16" s="562">
        <f t="shared" si="31"/>
        <v>0</v>
      </c>
      <c r="AU16" s="562">
        <f t="shared" si="31"/>
        <v>0</v>
      </c>
      <c r="AV16" s="562">
        <f t="shared" si="31"/>
        <v>0</v>
      </c>
      <c r="AW16" s="563">
        <f t="shared" si="31"/>
        <v>0</v>
      </c>
      <c r="AY16" s="57" t="s">
        <v>36</v>
      </c>
      <c r="AZ16" s="68"/>
      <c r="BA16" s="510">
        <f t="shared" ref="BA16:BM16" si="32">BA171</f>
        <v>0</v>
      </c>
      <c r="BB16" s="511">
        <f t="shared" si="32"/>
        <v>0</v>
      </c>
      <c r="BC16" s="438">
        <f t="shared" si="32"/>
        <v>0</v>
      </c>
      <c r="BD16" s="438">
        <f t="shared" si="32"/>
        <v>0</v>
      </c>
      <c r="BE16" s="438">
        <f t="shared" si="32"/>
        <v>0</v>
      </c>
      <c r="BF16" s="438">
        <f t="shared" si="32"/>
        <v>0</v>
      </c>
      <c r="BG16" s="438">
        <f t="shared" si="32"/>
        <v>0</v>
      </c>
      <c r="BH16" s="438">
        <f t="shared" si="32"/>
        <v>0</v>
      </c>
      <c r="BI16" s="438">
        <f t="shared" si="32"/>
        <v>0</v>
      </c>
      <c r="BJ16" s="438">
        <f t="shared" si="32"/>
        <v>0</v>
      </c>
      <c r="BK16" s="438">
        <f t="shared" si="32"/>
        <v>0</v>
      </c>
      <c r="BL16" s="438">
        <f t="shared" si="32"/>
        <v>0</v>
      </c>
      <c r="BM16" s="439">
        <f t="shared" si="32"/>
        <v>0</v>
      </c>
      <c r="CI16" s="27"/>
      <c r="CJ16" s="57" t="s">
        <v>36</v>
      </c>
      <c r="CK16" s="68"/>
      <c r="CL16" s="602">
        <f>BA16</f>
        <v>0</v>
      </c>
      <c r="CM16" s="603">
        <f t="shared" si="3"/>
        <v>0</v>
      </c>
      <c r="CN16" s="604">
        <f t="shared" si="3"/>
        <v>0</v>
      </c>
      <c r="CO16" s="604">
        <f t="shared" si="3"/>
        <v>0</v>
      </c>
      <c r="CP16" s="604">
        <f t="shared" si="3"/>
        <v>0</v>
      </c>
      <c r="CQ16" s="604">
        <f t="shared" si="3"/>
        <v>0</v>
      </c>
      <c r="CR16" s="604">
        <f t="shared" si="3"/>
        <v>0</v>
      </c>
      <c r="CS16" s="604">
        <f t="shared" si="3"/>
        <v>0</v>
      </c>
      <c r="CT16" s="604">
        <f t="shared" si="3"/>
        <v>0</v>
      </c>
      <c r="CU16" s="604">
        <f t="shared" si="3"/>
        <v>0</v>
      </c>
      <c r="CV16" s="604">
        <f t="shared" si="3"/>
        <v>0</v>
      </c>
      <c r="CW16" s="604">
        <f t="shared" si="3"/>
        <v>0</v>
      </c>
      <c r="CX16" s="605">
        <f t="shared" si="3"/>
        <v>0</v>
      </c>
    </row>
    <row r="17" spans="2:102" ht="13.5" customHeight="1" x14ac:dyDescent="0.2">
      <c r="B17" s="57" t="s">
        <v>94</v>
      </c>
      <c r="C17" s="68"/>
      <c r="D17" s="436">
        <f>'3 Saalis'!D19</f>
        <v>0</v>
      </c>
      <c r="E17" s="437">
        <f>'3 Saalis'!E19</f>
        <v>0</v>
      </c>
      <c r="F17" s="438">
        <f>'3 Saalis'!F19</f>
        <v>0</v>
      </c>
      <c r="G17" s="438">
        <f>'3 Saalis'!G19</f>
        <v>0</v>
      </c>
      <c r="H17" s="438">
        <f>'3 Saalis'!H19</f>
        <v>0</v>
      </c>
      <c r="I17" s="438">
        <f>'3 Saalis'!I19</f>
        <v>0</v>
      </c>
      <c r="J17" s="438">
        <f>'3 Saalis'!J19</f>
        <v>0</v>
      </c>
      <c r="K17" s="438">
        <f>'3 Saalis'!K19</f>
        <v>0</v>
      </c>
      <c r="L17" s="438">
        <f>'3 Saalis'!L19</f>
        <v>0</v>
      </c>
      <c r="M17" s="438">
        <f>'3 Saalis'!M19</f>
        <v>0</v>
      </c>
      <c r="N17" s="438">
        <f>'3 Saalis'!N19</f>
        <v>0</v>
      </c>
      <c r="O17" s="438">
        <f>'3 Saalis'!O19</f>
        <v>0</v>
      </c>
      <c r="P17" s="439">
        <f>'3 Saalis'!P19</f>
        <v>0</v>
      </c>
      <c r="S17" s="57" t="s">
        <v>94</v>
      </c>
      <c r="T17" s="68"/>
      <c r="U17" s="510">
        <f t="shared" si="4"/>
        <v>0</v>
      </c>
      <c r="V17" s="511">
        <f t="shared" ref="V17:AG17" si="33">V181</f>
        <v>0</v>
      </c>
      <c r="W17" s="438">
        <f t="shared" si="33"/>
        <v>0</v>
      </c>
      <c r="X17" s="438">
        <f t="shared" si="33"/>
        <v>0</v>
      </c>
      <c r="Y17" s="438">
        <f t="shared" si="33"/>
        <v>0</v>
      </c>
      <c r="Z17" s="438">
        <f t="shared" si="33"/>
        <v>0</v>
      </c>
      <c r="AA17" s="438">
        <f t="shared" si="33"/>
        <v>0</v>
      </c>
      <c r="AB17" s="438">
        <f t="shared" si="33"/>
        <v>0</v>
      </c>
      <c r="AC17" s="438">
        <f t="shared" si="33"/>
        <v>0</v>
      </c>
      <c r="AD17" s="438">
        <f t="shared" si="33"/>
        <v>0</v>
      </c>
      <c r="AE17" s="438">
        <f t="shared" si="33"/>
        <v>0</v>
      </c>
      <c r="AF17" s="438">
        <f t="shared" si="33"/>
        <v>0</v>
      </c>
      <c r="AG17" s="439">
        <f t="shared" si="33"/>
        <v>0</v>
      </c>
      <c r="AI17" s="57" t="s">
        <v>94</v>
      </c>
      <c r="AJ17" s="68"/>
      <c r="AK17" s="560">
        <f t="shared" ref="AK17:AW17" si="34">AK181</f>
        <v>0</v>
      </c>
      <c r="AL17" s="561">
        <f t="shared" si="34"/>
        <v>0</v>
      </c>
      <c r="AM17" s="562">
        <f t="shared" si="34"/>
        <v>0</v>
      </c>
      <c r="AN17" s="562">
        <f t="shared" si="34"/>
        <v>0</v>
      </c>
      <c r="AO17" s="562">
        <f t="shared" si="34"/>
        <v>0</v>
      </c>
      <c r="AP17" s="562">
        <f t="shared" si="34"/>
        <v>0</v>
      </c>
      <c r="AQ17" s="562">
        <f t="shared" si="34"/>
        <v>0</v>
      </c>
      <c r="AR17" s="562">
        <f t="shared" si="34"/>
        <v>0</v>
      </c>
      <c r="AS17" s="562">
        <f t="shared" si="34"/>
        <v>0</v>
      </c>
      <c r="AT17" s="562">
        <f t="shared" si="34"/>
        <v>0</v>
      </c>
      <c r="AU17" s="562">
        <f t="shared" si="34"/>
        <v>0</v>
      </c>
      <c r="AV17" s="562">
        <f t="shared" si="34"/>
        <v>0</v>
      </c>
      <c r="AW17" s="563">
        <f t="shared" si="34"/>
        <v>0</v>
      </c>
      <c r="AY17" s="57" t="s">
        <v>94</v>
      </c>
      <c r="AZ17" s="68"/>
      <c r="BA17" s="510">
        <f t="shared" ref="BA17:BM17" si="35">BA181</f>
        <v>0</v>
      </c>
      <c r="BB17" s="511">
        <f t="shared" si="35"/>
        <v>0</v>
      </c>
      <c r="BC17" s="438">
        <f t="shared" si="35"/>
        <v>0</v>
      </c>
      <c r="BD17" s="438">
        <f t="shared" si="35"/>
        <v>0</v>
      </c>
      <c r="BE17" s="438">
        <f t="shared" si="35"/>
        <v>0</v>
      </c>
      <c r="BF17" s="438">
        <f t="shared" si="35"/>
        <v>0</v>
      </c>
      <c r="BG17" s="438">
        <f t="shared" si="35"/>
        <v>0</v>
      </c>
      <c r="BH17" s="438">
        <f t="shared" si="35"/>
        <v>0</v>
      </c>
      <c r="BI17" s="438">
        <f t="shared" si="35"/>
        <v>0</v>
      </c>
      <c r="BJ17" s="438">
        <f t="shared" si="35"/>
        <v>0</v>
      </c>
      <c r="BK17" s="438">
        <f t="shared" si="35"/>
        <v>0</v>
      </c>
      <c r="BL17" s="438">
        <f t="shared" si="35"/>
        <v>0</v>
      </c>
      <c r="BM17" s="439">
        <f t="shared" si="35"/>
        <v>0</v>
      </c>
      <c r="CI17" s="27"/>
      <c r="CJ17" s="57" t="s">
        <v>94</v>
      </c>
      <c r="CK17" s="68"/>
      <c r="CL17" s="602">
        <f t="shared" si="8"/>
        <v>0</v>
      </c>
      <c r="CM17" s="603">
        <f t="shared" si="3"/>
        <v>0</v>
      </c>
      <c r="CN17" s="604">
        <f t="shared" si="3"/>
        <v>0</v>
      </c>
      <c r="CO17" s="604">
        <f t="shared" si="3"/>
        <v>0</v>
      </c>
      <c r="CP17" s="604">
        <f t="shared" si="3"/>
        <v>0</v>
      </c>
      <c r="CQ17" s="604">
        <f t="shared" si="3"/>
        <v>0</v>
      </c>
      <c r="CR17" s="604">
        <f t="shared" si="3"/>
        <v>0</v>
      </c>
      <c r="CS17" s="604">
        <f t="shared" si="3"/>
        <v>0</v>
      </c>
      <c r="CT17" s="604">
        <f t="shared" si="3"/>
        <v>0</v>
      </c>
      <c r="CU17" s="604">
        <f t="shared" si="3"/>
        <v>0</v>
      </c>
      <c r="CV17" s="604">
        <f t="shared" si="3"/>
        <v>0</v>
      </c>
      <c r="CW17" s="604">
        <f t="shared" si="3"/>
        <v>0</v>
      </c>
      <c r="CX17" s="605">
        <f t="shared" si="3"/>
        <v>0</v>
      </c>
    </row>
    <row r="18" spans="2:102" ht="13.5" customHeight="1" thickBot="1" x14ac:dyDescent="0.25">
      <c r="B18" s="40" t="s">
        <v>93</v>
      </c>
      <c r="C18" s="76"/>
      <c r="D18" s="483">
        <f>'3 Saalis'!D20</f>
        <v>0</v>
      </c>
      <c r="E18" s="484">
        <f>'3 Saalis'!E20</f>
        <v>0</v>
      </c>
      <c r="F18" s="485">
        <f>'3 Saalis'!F20</f>
        <v>0</v>
      </c>
      <c r="G18" s="485">
        <f>'3 Saalis'!G20</f>
        <v>0</v>
      </c>
      <c r="H18" s="485">
        <f>'3 Saalis'!H20</f>
        <v>0</v>
      </c>
      <c r="I18" s="485">
        <f>'3 Saalis'!I20</f>
        <v>0</v>
      </c>
      <c r="J18" s="485">
        <f>'3 Saalis'!J20</f>
        <v>0</v>
      </c>
      <c r="K18" s="485">
        <f>'3 Saalis'!K20</f>
        <v>0</v>
      </c>
      <c r="L18" s="485">
        <f>'3 Saalis'!L20</f>
        <v>0</v>
      </c>
      <c r="M18" s="485">
        <f>'3 Saalis'!M20</f>
        <v>0</v>
      </c>
      <c r="N18" s="485">
        <f>'3 Saalis'!N20</f>
        <v>0</v>
      </c>
      <c r="O18" s="485">
        <f>'3 Saalis'!O20</f>
        <v>0</v>
      </c>
      <c r="P18" s="486">
        <f>'3 Saalis'!P20</f>
        <v>0</v>
      </c>
      <c r="S18" s="40" t="s">
        <v>93</v>
      </c>
      <c r="T18" s="76"/>
      <c r="U18" s="512">
        <f t="shared" si="4"/>
        <v>0</v>
      </c>
      <c r="V18" s="513">
        <f t="shared" ref="V18:AG18" si="36">V195</f>
        <v>0</v>
      </c>
      <c r="W18" s="485">
        <f t="shared" si="36"/>
        <v>0</v>
      </c>
      <c r="X18" s="485">
        <f t="shared" si="36"/>
        <v>0</v>
      </c>
      <c r="Y18" s="485">
        <f t="shared" si="36"/>
        <v>0</v>
      </c>
      <c r="Z18" s="485">
        <f t="shared" si="36"/>
        <v>0</v>
      </c>
      <c r="AA18" s="485">
        <f t="shared" si="36"/>
        <v>0</v>
      </c>
      <c r="AB18" s="485">
        <f t="shared" si="36"/>
        <v>0</v>
      </c>
      <c r="AC18" s="485">
        <f t="shared" si="36"/>
        <v>0</v>
      </c>
      <c r="AD18" s="485">
        <f t="shared" si="36"/>
        <v>0</v>
      </c>
      <c r="AE18" s="485">
        <f t="shared" si="36"/>
        <v>0</v>
      </c>
      <c r="AF18" s="485">
        <f t="shared" si="36"/>
        <v>0</v>
      </c>
      <c r="AG18" s="486">
        <f t="shared" si="36"/>
        <v>0</v>
      </c>
      <c r="AI18" s="40" t="s">
        <v>93</v>
      </c>
      <c r="AJ18" s="76"/>
      <c r="AK18" s="564">
        <f t="shared" ref="AK18:AW18" si="37">AK195</f>
        <v>0</v>
      </c>
      <c r="AL18" s="565">
        <f t="shared" si="37"/>
        <v>0</v>
      </c>
      <c r="AM18" s="566">
        <f t="shared" si="37"/>
        <v>0</v>
      </c>
      <c r="AN18" s="566">
        <f t="shared" si="37"/>
        <v>0</v>
      </c>
      <c r="AO18" s="566">
        <f t="shared" si="37"/>
        <v>0</v>
      </c>
      <c r="AP18" s="566">
        <f t="shared" si="37"/>
        <v>0</v>
      </c>
      <c r="AQ18" s="566">
        <f t="shared" si="37"/>
        <v>0</v>
      </c>
      <c r="AR18" s="566">
        <f t="shared" si="37"/>
        <v>0</v>
      </c>
      <c r="AS18" s="566">
        <f t="shared" si="37"/>
        <v>0</v>
      </c>
      <c r="AT18" s="566">
        <f t="shared" si="37"/>
        <v>0</v>
      </c>
      <c r="AU18" s="566">
        <f t="shared" si="37"/>
        <v>0</v>
      </c>
      <c r="AV18" s="566">
        <f t="shared" si="37"/>
        <v>0</v>
      </c>
      <c r="AW18" s="567">
        <f t="shared" si="37"/>
        <v>0</v>
      </c>
      <c r="AY18" s="40" t="s">
        <v>93</v>
      </c>
      <c r="AZ18" s="76"/>
      <c r="BA18" s="593">
        <f t="shared" ref="BA18:BM18" si="38">BA195</f>
        <v>0</v>
      </c>
      <c r="BB18" s="513">
        <f t="shared" si="38"/>
        <v>0</v>
      </c>
      <c r="BC18" s="485">
        <f t="shared" si="38"/>
        <v>0</v>
      </c>
      <c r="BD18" s="485">
        <f t="shared" si="38"/>
        <v>0</v>
      </c>
      <c r="BE18" s="485">
        <f t="shared" si="38"/>
        <v>0</v>
      </c>
      <c r="BF18" s="485">
        <f t="shared" si="38"/>
        <v>0</v>
      </c>
      <c r="BG18" s="485">
        <f t="shared" si="38"/>
        <v>0</v>
      </c>
      <c r="BH18" s="485">
        <f t="shared" si="38"/>
        <v>0</v>
      </c>
      <c r="BI18" s="485">
        <f t="shared" si="38"/>
        <v>0</v>
      </c>
      <c r="BJ18" s="485">
        <f t="shared" si="38"/>
        <v>0</v>
      </c>
      <c r="BK18" s="485">
        <f t="shared" si="38"/>
        <v>0</v>
      </c>
      <c r="BL18" s="485">
        <f t="shared" si="38"/>
        <v>0</v>
      </c>
      <c r="BM18" s="486">
        <f t="shared" si="38"/>
        <v>0</v>
      </c>
      <c r="CI18" s="27"/>
      <c r="CJ18" s="40" t="s">
        <v>93</v>
      </c>
      <c r="CK18" s="76"/>
      <c r="CL18" s="606">
        <f t="shared" si="8"/>
        <v>0</v>
      </c>
      <c r="CM18" s="607">
        <f t="shared" si="3"/>
        <v>0</v>
      </c>
      <c r="CN18" s="608">
        <f t="shared" si="3"/>
        <v>0</v>
      </c>
      <c r="CO18" s="608">
        <f t="shared" si="3"/>
        <v>0</v>
      </c>
      <c r="CP18" s="608">
        <f t="shared" si="3"/>
        <v>0</v>
      </c>
      <c r="CQ18" s="608">
        <f t="shared" si="3"/>
        <v>0</v>
      </c>
      <c r="CR18" s="608">
        <f t="shared" si="3"/>
        <v>0</v>
      </c>
      <c r="CS18" s="608">
        <f t="shared" si="3"/>
        <v>0</v>
      </c>
      <c r="CT18" s="608">
        <f t="shared" si="3"/>
        <v>0</v>
      </c>
      <c r="CU18" s="608">
        <f t="shared" si="3"/>
        <v>0</v>
      </c>
      <c r="CV18" s="608">
        <f t="shared" si="3"/>
        <v>0</v>
      </c>
      <c r="CW18" s="608">
        <f t="shared" si="3"/>
        <v>0</v>
      </c>
      <c r="CX18" s="609">
        <f t="shared" si="3"/>
        <v>0</v>
      </c>
    </row>
    <row r="19" spans="2:102" ht="13.5" customHeight="1" thickBot="1" x14ac:dyDescent="0.25">
      <c r="B19" s="40" t="s">
        <v>107</v>
      </c>
      <c r="C19" s="76"/>
      <c r="D19" s="443">
        <f>'3 Saalis'!D21</f>
        <v>0</v>
      </c>
      <c r="E19" s="461">
        <f>'3 Saalis'!E21</f>
        <v>0</v>
      </c>
      <c r="F19" s="453">
        <f>'3 Saalis'!F21</f>
        <v>0</v>
      </c>
      <c r="G19" s="453">
        <f>'3 Saalis'!G21</f>
        <v>0</v>
      </c>
      <c r="H19" s="453">
        <f>'3 Saalis'!H21</f>
        <v>0</v>
      </c>
      <c r="I19" s="453">
        <f>'3 Saalis'!I21</f>
        <v>0</v>
      </c>
      <c r="J19" s="453">
        <f>'3 Saalis'!J21</f>
        <v>0</v>
      </c>
      <c r="K19" s="453">
        <f>'3 Saalis'!K21</f>
        <v>0</v>
      </c>
      <c r="L19" s="453">
        <f>'3 Saalis'!L21</f>
        <v>0</v>
      </c>
      <c r="M19" s="453">
        <f>'3 Saalis'!M21</f>
        <v>0</v>
      </c>
      <c r="N19" s="453">
        <f>'3 Saalis'!N21</f>
        <v>0</v>
      </c>
      <c r="O19" s="453">
        <f>'3 Saalis'!O21</f>
        <v>0</v>
      </c>
      <c r="P19" s="454">
        <f>'3 Saalis'!P21</f>
        <v>0</v>
      </c>
      <c r="S19" s="40" t="s">
        <v>107</v>
      </c>
      <c r="T19" s="76"/>
      <c r="U19" s="460">
        <f>SUM(U7:U18)</f>
        <v>0</v>
      </c>
      <c r="V19" s="461">
        <f>SUM(V7:V18)</f>
        <v>0</v>
      </c>
      <c r="W19" s="453">
        <f t="shared" ref="W19:AG19" si="39">SUM(W7:W18)</f>
        <v>0</v>
      </c>
      <c r="X19" s="453">
        <f t="shared" si="39"/>
        <v>0</v>
      </c>
      <c r="Y19" s="453">
        <f t="shared" si="39"/>
        <v>0</v>
      </c>
      <c r="Z19" s="453">
        <f t="shared" si="39"/>
        <v>0</v>
      </c>
      <c r="AA19" s="453">
        <f t="shared" si="39"/>
        <v>0</v>
      </c>
      <c r="AB19" s="453">
        <f t="shared" si="39"/>
        <v>0</v>
      </c>
      <c r="AC19" s="453">
        <f t="shared" si="39"/>
        <v>0</v>
      </c>
      <c r="AD19" s="453">
        <f t="shared" si="39"/>
        <v>0</v>
      </c>
      <c r="AE19" s="453">
        <f t="shared" si="39"/>
        <v>0</v>
      </c>
      <c r="AF19" s="453">
        <f t="shared" si="39"/>
        <v>0</v>
      </c>
      <c r="AG19" s="454">
        <f t="shared" si="39"/>
        <v>0</v>
      </c>
      <c r="AI19" s="40" t="s">
        <v>107</v>
      </c>
      <c r="AJ19" s="76"/>
      <c r="AK19" s="568">
        <f>IF(D19=0,0,BA19/D19)</f>
        <v>0</v>
      </c>
      <c r="AL19" s="569">
        <f t="shared" ref="AL19:AW19" si="40">IF(E19=0,0,BB19/E19)</f>
        <v>0</v>
      </c>
      <c r="AM19" s="570">
        <f t="shared" si="40"/>
        <v>0</v>
      </c>
      <c r="AN19" s="570">
        <f t="shared" si="40"/>
        <v>0</v>
      </c>
      <c r="AO19" s="570">
        <f t="shared" si="40"/>
        <v>0</v>
      </c>
      <c r="AP19" s="570">
        <f t="shared" si="40"/>
        <v>0</v>
      </c>
      <c r="AQ19" s="570">
        <f t="shared" si="40"/>
        <v>0</v>
      </c>
      <c r="AR19" s="570">
        <f t="shared" si="40"/>
        <v>0</v>
      </c>
      <c r="AS19" s="570">
        <f t="shared" si="40"/>
        <v>0</v>
      </c>
      <c r="AT19" s="570">
        <f t="shared" si="40"/>
        <v>0</v>
      </c>
      <c r="AU19" s="570">
        <f t="shared" si="40"/>
        <v>0</v>
      </c>
      <c r="AV19" s="570">
        <f t="shared" si="40"/>
        <v>0</v>
      </c>
      <c r="AW19" s="571">
        <f t="shared" si="40"/>
        <v>0</v>
      </c>
      <c r="AY19" s="40" t="s">
        <v>107</v>
      </c>
      <c r="AZ19" s="76"/>
      <c r="BA19" s="423">
        <f>SUM(BA7:BA18)</f>
        <v>0</v>
      </c>
      <c r="BB19" s="503">
        <f t="shared" ref="BB19:BM19" si="41">SUM(BB7:BB18)</f>
        <v>0</v>
      </c>
      <c r="BC19" s="453">
        <f>SUM(BC7:BC18)</f>
        <v>0</v>
      </c>
      <c r="BD19" s="453">
        <f t="shared" si="41"/>
        <v>0</v>
      </c>
      <c r="BE19" s="453">
        <f t="shared" si="41"/>
        <v>0</v>
      </c>
      <c r="BF19" s="453">
        <f t="shared" si="41"/>
        <v>0</v>
      </c>
      <c r="BG19" s="453">
        <f t="shared" si="41"/>
        <v>0</v>
      </c>
      <c r="BH19" s="453">
        <f t="shared" si="41"/>
        <v>0</v>
      </c>
      <c r="BI19" s="453">
        <f t="shared" si="41"/>
        <v>0</v>
      </c>
      <c r="BJ19" s="453">
        <f t="shared" si="41"/>
        <v>0</v>
      </c>
      <c r="BK19" s="453">
        <f t="shared" si="41"/>
        <v>0</v>
      </c>
      <c r="BL19" s="453">
        <f t="shared" si="41"/>
        <v>0</v>
      </c>
      <c r="BM19" s="454">
        <f t="shared" si="41"/>
        <v>0</v>
      </c>
      <c r="CI19" s="27"/>
      <c r="CJ19" s="40" t="s">
        <v>107</v>
      </c>
      <c r="CK19" s="76"/>
      <c r="CL19" s="610">
        <f>BA19</f>
        <v>0</v>
      </c>
      <c r="CM19" s="611">
        <f t="shared" si="3"/>
        <v>0</v>
      </c>
      <c r="CN19" s="612">
        <f t="shared" si="3"/>
        <v>0</v>
      </c>
      <c r="CO19" s="612">
        <f t="shared" si="3"/>
        <v>0</v>
      </c>
      <c r="CP19" s="612">
        <f t="shared" si="3"/>
        <v>0</v>
      </c>
      <c r="CQ19" s="612">
        <f t="shared" si="3"/>
        <v>0</v>
      </c>
      <c r="CR19" s="612">
        <f t="shared" si="3"/>
        <v>0</v>
      </c>
      <c r="CS19" s="612">
        <f t="shared" si="3"/>
        <v>0</v>
      </c>
      <c r="CT19" s="612">
        <f t="shared" si="3"/>
        <v>0</v>
      </c>
      <c r="CU19" s="612">
        <f t="shared" si="3"/>
        <v>0</v>
      </c>
      <c r="CV19" s="612">
        <f t="shared" si="3"/>
        <v>0</v>
      </c>
      <c r="CW19" s="612">
        <f t="shared" si="3"/>
        <v>0</v>
      </c>
      <c r="CX19" s="613">
        <f t="shared" si="3"/>
        <v>0</v>
      </c>
    </row>
    <row r="20" spans="2:102" ht="13.5" customHeight="1" x14ac:dyDescent="0.35">
      <c r="B20" s="39"/>
      <c r="C20" s="39"/>
      <c r="D20" s="243"/>
      <c r="S20" s="243"/>
      <c r="T20" s="243"/>
      <c r="U20" s="243"/>
      <c r="AI20" s="39"/>
      <c r="AJ20" s="39"/>
      <c r="AK20" s="39"/>
      <c r="AL20" s="39"/>
      <c r="AY20" s="39"/>
      <c r="AZ20" s="39"/>
      <c r="BA20" s="243"/>
      <c r="CL20" s="27"/>
      <c r="CM20" s="27"/>
      <c r="CN20" s="27"/>
      <c r="CO20" s="27"/>
      <c r="CP20" s="27"/>
      <c r="CQ20" s="27"/>
      <c r="CR20" s="27"/>
      <c r="CS20" s="27"/>
      <c r="CT20" s="27"/>
      <c r="CU20" s="27"/>
      <c r="CV20" s="27"/>
      <c r="CW20" s="27"/>
      <c r="CX20" s="27"/>
    </row>
    <row r="21" spans="2:102" ht="12" customHeight="1" thickBot="1" x14ac:dyDescent="0.25">
      <c r="CL21" s="27" t="s">
        <v>1</v>
      </c>
    </row>
    <row r="22" spans="2:102" ht="22.5" customHeight="1" thickBot="1" x14ac:dyDescent="0.4">
      <c r="B22" s="5" t="s">
        <v>74</v>
      </c>
      <c r="C22" s="36"/>
      <c r="D22" s="249" t="s">
        <v>40</v>
      </c>
      <c r="E22" s="245"/>
      <c r="F22" s="246"/>
      <c r="G22" s="246"/>
      <c r="H22" s="246"/>
      <c r="I22" s="246"/>
      <c r="J22" s="219" t="s">
        <v>42</v>
      </c>
      <c r="K22" s="246"/>
      <c r="L22" s="246"/>
      <c r="M22" s="246"/>
      <c r="N22" s="246"/>
      <c r="O22" s="246"/>
      <c r="P22" s="247"/>
      <c r="Q22" s="250"/>
      <c r="S22" s="251" t="s">
        <v>74</v>
      </c>
      <c r="T22" s="252"/>
      <c r="U22" s="249" t="s">
        <v>40</v>
      </c>
      <c r="V22" s="245"/>
      <c r="W22" s="246"/>
      <c r="X22" s="246"/>
      <c r="Y22" s="246"/>
      <c r="Z22" s="246"/>
      <c r="AA22" s="219" t="s">
        <v>42</v>
      </c>
      <c r="AB22" s="246"/>
      <c r="AC22" s="246"/>
      <c r="AD22" s="246"/>
      <c r="AE22" s="246"/>
      <c r="AF22" s="246"/>
      <c r="AG22" s="247"/>
      <c r="AI22" s="5" t="s">
        <v>74</v>
      </c>
      <c r="AJ22" s="36"/>
      <c r="AK22" s="51" t="s">
        <v>40</v>
      </c>
      <c r="AL22" s="47"/>
      <c r="AM22" s="48"/>
      <c r="AN22" s="48"/>
      <c r="AO22" s="48"/>
      <c r="AP22" s="48"/>
      <c r="AQ22" s="41" t="s">
        <v>42</v>
      </c>
      <c r="AR22" s="48"/>
      <c r="AS22" s="48"/>
      <c r="AT22" s="48"/>
      <c r="AU22" s="48"/>
      <c r="AV22" s="48"/>
      <c r="AW22" s="49"/>
      <c r="AY22" s="5" t="s">
        <v>74</v>
      </c>
      <c r="AZ22" s="36"/>
      <c r="BA22" s="249" t="s">
        <v>40</v>
      </c>
      <c r="BB22" s="245"/>
      <c r="BC22" s="246"/>
      <c r="BD22" s="246"/>
      <c r="BE22" s="246"/>
      <c r="BF22" s="246"/>
      <c r="BG22" s="219" t="s">
        <v>42</v>
      </c>
      <c r="BH22" s="246"/>
      <c r="BI22" s="246"/>
      <c r="BJ22" s="246"/>
      <c r="BK22" s="246"/>
      <c r="BL22" s="246"/>
      <c r="BM22" s="247"/>
      <c r="CK22" s="735" t="str">
        <f>'3 Saalis'!T67</f>
        <v>Verkko1</v>
      </c>
      <c r="CL22" s="736"/>
      <c r="CM22" s="377"/>
      <c r="CN22" s="736" t="str">
        <f>'3 Saalis'!V67</f>
        <v>Yhteensä</v>
      </c>
      <c r="CO22" s="377"/>
      <c r="CP22" s="377"/>
      <c r="CQ22" s="377"/>
      <c r="CR22" s="734"/>
    </row>
    <row r="23" spans="2:102" ht="13.5" customHeight="1" thickBot="1" x14ac:dyDescent="0.4">
      <c r="B23" s="57"/>
      <c r="C23" s="59"/>
      <c r="D23" s="253" t="s">
        <v>41</v>
      </c>
      <c r="E23" s="920">
        <v>1</v>
      </c>
      <c r="F23" s="921">
        <v>2</v>
      </c>
      <c r="G23" s="921">
        <v>3</v>
      </c>
      <c r="H23" s="921">
        <v>4</v>
      </c>
      <c r="I23" s="921">
        <v>5</v>
      </c>
      <c r="J23" s="921">
        <v>6</v>
      </c>
      <c r="K23" s="921">
        <v>7</v>
      </c>
      <c r="L23" s="921">
        <v>8</v>
      </c>
      <c r="M23" s="921">
        <v>9</v>
      </c>
      <c r="N23" s="921">
        <v>10</v>
      </c>
      <c r="O23" s="921">
        <v>11</v>
      </c>
      <c r="P23" s="922">
        <v>12</v>
      </c>
      <c r="Q23" s="87"/>
      <c r="S23" s="255"/>
      <c r="T23" s="256"/>
      <c r="U23" s="253" t="s">
        <v>41</v>
      </c>
      <c r="V23" s="920">
        <v>1</v>
      </c>
      <c r="W23" s="921">
        <v>2</v>
      </c>
      <c r="X23" s="921">
        <v>3</v>
      </c>
      <c r="Y23" s="921">
        <v>4</v>
      </c>
      <c r="Z23" s="921">
        <v>5</v>
      </c>
      <c r="AA23" s="921">
        <v>6</v>
      </c>
      <c r="AB23" s="921">
        <v>7</v>
      </c>
      <c r="AC23" s="921">
        <v>8</v>
      </c>
      <c r="AD23" s="921">
        <v>9</v>
      </c>
      <c r="AE23" s="921">
        <v>10</v>
      </c>
      <c r="AF23" s="921">
        <v>11</v>
      </c>
      <c r="AG23" s="922">
        <v>12</v>
      </c>
      <c r="AI23" s="57"/>
      <c r="AJ23" s="59"/>
      <c r="AK23" s="69" t="s">
        <v>41</v>
      </c>
      <c r="AL23" s="923">
        <v>1</v>
      </c>
      <c r="AM23" s="921">
        <v>2</v>
      </c>
      <c r="AN23" s="921">
        <v>3</v>
      </c>
      <c r="AO23" s="921">
        <v>4</v>
      </c>
      <c r="AP23" s="921">
        <v>5</v>
      </c>
      <c r="AQ23" s="921">
        <v>6</v>
      </c>
      <c r="AR23" s="921">
        <v>7</v>
      </c>
      <c r="AS23" s="921">
        <v>8</v>
      </c>
      <c r="AT23" s="921">
        <v>9</v>
      </c>
      <c r="AU23" s="921">
        <v>10</v>
      </c>
      <c r="AV23" s="921">
        <v>11</v>
      </c>
      <c r="AW23" s="922">
        <v>12</v>
      </c>
      <c r="AY23" s="57"/>
      <c r="AZ23" s="59"/>
      <c r="BA23" s="253" t="s">
        <v>41</v>
      </c>
      <c r="BB23" s="920">
        <v>1</v>
      </c>
      <c r="BC23" s="921">
        <v>2</v>
      </c>
      <c r="BD23" s="921">
        <v>3</v>
      </c>
      <c r="BE23" s="921">
        <v>4</v>
      </c>
      <c r="BF23" s="921">
        <v>5</v>
      </c>
      <c r="BG23" s="921">
        <v>6</v>
      </c>
      <c r="BH23" s="921">
        <v>7</v>
      </c>
      <c r="BI23" s="921">
        <v>8</v>
      </c>
      <c r="BJ23" s="921">
        <v>9</v>
      </c>
      <c r="BK23" s="921">
        <v>10</v>
      </c>
      <c r="BL23" s="921">
        <v>11</v>
      </c>
      <c r="BM23" s="922">
        <v>12</v>
      </c>
      <c r="CK23" s="39"/>
      <c r="CL23" s="39"/>
      <c r="CM23" s="43"/>
    </row>
    <row r="24" spans="2:102" ht="15.75" customHeight="1" thickBot="1" x14ac:dyDescent="0.4">
      <c r="B24" s="5" t="s">
        <v>73</v>
      </c>
      <c r="C24" s="36"/>
      <c r="D24" s="423">
        <f>'3 Saalis'!D9</f>
        <v>0</v>
      </c>
      <c r="E24" s="487">
        <f>'3 Saalis'!E9</f>
        <v>0</v>
      </c>
      <c r="F24" s="488">
        <f>'3 Saalis'!F9</f>
        <v>0</v>
      </c>
      <c r="G24" s="488">
        <f>'3 Saalis'!G9</f>
        <v>0</v>
      </c>
      <c r="H24" s="488">
        <f>'3 Saalis'!H9</f>
        <v>0</v>
      </c>
      <c r="I24" s="488">
        <f>'3 Saalis'!I9</f>
        <v>0</v>
      </c>
      <c r="J24" s="488">
        <f>'3 Saalis'!J9</f>
        <v>0</v>
      </c>
      <c r="K24" s="488">
        <f>'3 Saalis'!K9</f>
        <v>0</v>
      </c>
      <c r="L24" s="488">
        <f>'3 Saalis'!L9</f>
        <v>0</v>
      </c>
      <c r="M24" s="488">
        <f>'3 Saalis'!M9</f>
        <v>0</v>
      </c>
      <c r="N24" s="488">
        <f>'3 Saalis'!N9</f>
        <v>0</v>
      </c>
      <c r="O24" s="488">
        <f>'3 Saalis'!O9</f>
        <v>0</v>
      </c>
      <c r="P24" s="489">
        <f>'3 Saalis'!P9</f>
        <v>0</v>
      </c>
      <c r="Q24" s="257"/>
      <c r="S24" s="251" t="s">
        <v>73</v>
      </c>
      <c r="T24" s="252"/>
      <c r="U24" s="423">
        <f>D24</f>
        <v>0</v>
      </c>
      <c r="V24" s="487">
        <f>E24</f>
        <v>0</v>
      </c>
      <c r="W24" s="488">
        <f>F24</f>
        <v>0</v>
      </c>
      <c r="X24" s="488">
        <f t="shared" ref="X24:AG24" si="42">G24</f>
        <v>0</v>
      </c>
      <c r="Y24" s="488">
        <f t="shared" si="42"/>
        <v>0</v>
      </c>
      <c r="Z24" s="488">
        <f t="shared" si="42"/>
        <v>0</v>
      </c>
      <c r="AA24" s="488">
        <f t="shared" si="42"/>
        <v>0</v>
      </c>
      <c r="AB24" s="488">
        <f t="shared" si="42"/>
        <v>0</v>
      </c>
      <c r="AC24" s="488">
        <f t="shared" si="42"/>
        <v>0</v>
      </c>
      <c r="AD24" s="488">
        <f t="shared" si="42"/>
        <v>0</v>
      </c>
      <c r="AE24" s="488">
        <f t="shared" si="42"/>
        <v>0</v>
      </c>
      <c r="AF24" s="488">
        <f t="shared" si="42"/>
        <v>0</v>
      </c>
      <c r="AG24" s="489">
        <f t="shared" si="42"/>
        <v>0</v>
      </c>
      <c r="AI24" s="5" t="s">
        <v>73</v>
      </c>
      <c r="AJ24" s="36"/>
      <c r="AK24" s="423">
        <f>D24</f>
        <v>0</v>
      </c>
      <c r="AL24" s="572">
        <f>E24</f>
        <v>0</v>
      </c>
      <c r="AM24" s="572">
        <f>F24</f>
        <v>0</v>
      </c>
      <c r="AN24" s="572">
        <f t="shared" ref="AN24:AW24" si="43">G24</f>
        <v>0</v>
      </c>
      <c r="AO24" s="572">
        <f t="shared" si="43"/>
        <v>0</v>
      </c>
      <c r="AP24" s="572">
        <f t="shared" si="43"/>
        <v>0</v>
      </c>
      <c r="AQ24" s="572">
        <f t="shared" si="43"/>
        <v>0</v>
      </c>
      <c r="AR24" s="572">
        <f t="shared" si="43"/>
        <v>0</v>
      </c>
      <c r="AS24" s="572">
        <f t="shared" si="43"/>
        <v>0</v>
      </c>
      <c r="AT24" s="572">
        <f t="shared" si="43"/>
        <v>0</v>
      </c>
      <c r="AU24" s="572">
        <f t="shared" si="43"/>
        <v>0</v>
      </c>
      <c r="AV24" s="572">
        <f t="shared" si="43"/>
        <v>0</v>
      </c>
      <c r="AW24" s="1135">
        <f t="shared" si="43"/>
        <v>0</v>
      </c>
      <c r="AY24" s="5" t="s">
        <v>73</v>
      </c>
      <c r="AZ24" s="36"/>
      <c r="BA24" s="423">
        <f>AK24</f>
        <v>0</v>
      </c>
      <c r="BB24" s="461">
        <f>AL24</f>
        <v>0</v>
      </c>
      <c r="BC24" s="453">
        <f>AM24</f>
        <v>0</v>
      </c>
      <c r="BD24" s="453">
        <f t="shared" ref="BD24:BL24" si="44">AN24</f>
        <v>0</v>
      </c>
      <c r="BE24" s="453">
        <f t="shared" si="44"/>
        <v>0</v>
      </c>
      <c r="BF24" s="453">
        <f t="shared" si="44"/>
        <v>0</v>
      </c>
      <c r="BG24" s="453">
        <f t="shared" si="44"/>
        <v>0</v>
      </c>
      <c r="BH24" s="453">
        <f t="shared" si="44"/>
        <v>0</v>
      </c>
      <c r="BI24" s="453">
        <f t="shared" si="44"/>
        <v>0</v>
      </c>
      <c r="BJ24" s="453">
        <f t="shared" si="44"/>
        <v>0</v>
      </c>
      <c r="BK24" s="453">
        <f t="shared" si="44"/>
        <v>0</v>
      </c>
      <c r="BL24" s="453">
        <f t="shared" si="44"/>
        <v>0</v>
      </c>
      <c r="BM24" s="454">
        <f>'3 Saalis'!AS9</f>
        <v>0</v>
      </c>
      <c r="CK24" s="30" t="s">
        <v>39</v>
      </c>
      <c r="CL24" s="455">
        <f>'3 Saalis'!CJ25</f>
        <v>0</v>
      </c>
      <c r="CM24" s="8" t="s">
        <v>15</v>
      </c>
      <c r="CN24" s="41"/>
      <c r="CO24" s="42"/>
      <c r="CP24" s="8" t="s">
        <v>5</v>
      </c>
      <c r="CQ24" s="10"/>
      <c r="CR24" s="18"/>
      <c r="CS24" s="18"/>
      <c r="CT24" s="18"/>
      <c r="CU24" s="10"/>
    </row>
    <row r="25" spans="2:102" ht="15" customHeight="1" thickBot="1" x14ac:dyDescent="0.25">
      <c r="B25" s="5" t="s">
        <v>64</v>
      </c>
      <c r="C25" s="36" t="s">
        <v>65</v>
      </c>
      <c r="D25" s="490">
        <f>SUM(E25:P25)</f>
        <v>0</v>
      </c>
      <c r="E25" s="1467"/>
      <c r="F25" s="1468"/>
      <c r="G25" s="1468"/>
      <c r="H25" s="1468"/>
      <c r="I25" s="1468"/>
      <c r="J25" s="1468"/>
      <c r="K25" s="1468"/>
      <c r="L25" s="1468"/>
      <c r="M25" s="1468"/>
      <c r="N25" s="1468"/>
      <c r="O25" s="1468"/>
      <c r="P25" s="1469"/>
      <c r="S25" s="251" t="s">
        <v>64</v>
      </c>
      <c r="T25" s="252" t="s">
        <v>65</v>
      </c>
      <c r="U25" s="490">
        <f>SUM(V25:AG25)</f>
        <v>0</v>
      </c>
      <c r="V25" s="499">
        <f>E25</f>
        <v>0</v>
      </c>
      <c r="W25" s="499">
        <f t="shared" ref="W25:AG40" si="45">F25</f>
        <v>0</v>
      </c>
      <c r="X25" s="499">
        <f t="shared" si="45"/>
        <v>0</v>
      </c>
      <c r="Y25" s="499">
        <f t="shared" si="45"/>
        <v>0</v>
      </c>
      <c r="Z25" s="499">
        <f t="shared" si="45"/>
        <v>0</v>
      </c>
      <c r="AA25" s="499">
        <f t="shared" si="45"/>
        <v>0</v>
      </c>
      <c r="AB25" s="499">
        <f t="shared" si="45"/>
        <v>0</v>
      </c>
      <c r="AC25" s="499">
        <f t="shared" si="45"/>
        <v>0</v>
      </c>
      <c r="AD25" s="499">
        <f t="shared" si="45"/>
        <v>0</v>
      </c>
      <c r="AE25" s="499">
        <f t="shared" si="45"/>
        <v>0</v>
      </c>
      <c r="AF25" s="499">
        <f t="shared" si="45"/>
        <v>0</v>
      </c>
      <c r="AG25" s="529">
        <f t="shared" si="45"/>
        <v>0</v>
      </c>
      <c r="AI25" s="5" t="s">
        <v>64</v>
      </c>
      <c r="AJ25" s="36" t="s">
        <v>65</v>
      </c>
      <c r="AK25" s="584">
        <f>IF(D25=0,0,BA25/D25)</f>
        <v>0</v>
      </c>
      <c r="AL25" s="1496">
        <v>0.56000000000000005</v>
      </c>
      <c r="AM25" s="1497">
        <v>0.56000000000000005</v>
      </c>
      <c r="AN25" s="1497">
        <v>0.68</v>
      </c>
      <c r="AO25" s="1497">
        <v>0.65</v>
      </c>
      <c r="AP25" s="1497">
        <v>0.63</v>
      </c>
      <c r="AQ25" s="1497">
        <v>0.56000000000000005</v>
      </c>
      <c r="AR25" s="1497">
        <v>0.55000000000000004</v>
      </c>
      <c r="AS25" s="1497">
        <v>0.55000000000000004</v>
      </c>
      <c r="AT25" s="1497">
        <v>0.65</v>
      </c>
      <c r="AU25" s="1497">
        <v>0.6</v>
      </c>
      <c r="AV25" s="1497">
        <v>0.55000000000000004</v>
      </c>
      <c r="AW25" s="1498">
        <v>0.5</v>
      </c>
      <c r="AY25" s="5" t="s">
        <v>64</v>
      </c>
      <c r="AZ25" s="36" t="s">
        <v>65</v>
      </c>
      <c r="BA25" s="449">
        <f>SUM(BB25:BM25)</f>
        <v>0</v>
      </c>
      <c r="BB25" s="516">
        <f>V25*AL25</f>
        <v>0</v>
      </c>
      <c r="BC25" s="534">
        <f t="shared" ref="BC25:BM40" si="46">W25*AM25</f>
        <v>0</v>
      </c>
      <c r="BD25" s="534">
        <f t="shared" si="46"/>
        <v>0</v>
      </c>
      <c r="BE25" s="534">
        <f t="shared" si="46"/>
        <v>0</v>
      </c>
      <c r="BF25" s="534">
        <f t="shared" si="46"/>
        <v>0</v>
      </c>
      <c r="BG25" s="534">
        <f t="shared" si="46"/>
        <v>0</v>
      </c>
      <c r="BH25" s="534">
        <f t="shared" si="46"/>
        <v>0</v>
      </c>
      <c r="BI25" s="534">
        <f t="shared" si="46"/>
        <v>0</v>
      </c>
      <c r="BJ25" s="534">
        <f t="shared" si="46"/>
        <v>0</v>
      </c>
      <c r="BK25" s="534">
        <f t="shared" si="46"/>
        <v>0</v>
      </c>
      <c r="BL25" s="534">
        <f t="shared" si="46"/>
        <v>0</v>
      </c>
      <c r="BM25" s="529">
        <f t="shared" si="46"/>
        <v>0</v>
      </c>
      <c r="CK25" s="30" t="s">
        <v>2</v>
      </c>
      <c r="CL25" s="1134" t="str">
        <f>'3 Saalis'!CJ26</f>
        <v>0</v>
      </c>
      <c r="CM25" s="8" t="s">
        <v>4</v>
      </c>
      <c r="CN25" s="10"/>
      <c r="CO25" s="455">
        <f>'3 Saalis'!CM26</f>
        <v>0</v>
      </c>
      <c r="CP25" s="8" t="s">
        <v>6</v>
      </c>
      <c r="CQ25" s="18"/>
      <c r="CR25" s="41"/>
      <c r="CS25" s="18"/>
      <c r="CT25" s="10"/>
      <c r="CU25" s="456">
        <f>'3 Saalis'!CS26</f>
        <v>0</v>
      </c>
    </row>
    <row r="26" spans="2:102" ht="13.5" customHeight="1" thickBot="1" x14ac:dyDescent="0.25">
      <c r="B26" s="57"/>
      <c r="C26" s="59" t="s">
        <v>66</v>
      </c>
      <c r="D26" s="491">
        <f t="shared" ref="D26:D32" si="47">SUM(E26:P26)</f>
        <v>0</v>
      </c>
      <c r="E26" s="1470"/>
      <c r="F26" s="1471"/>
      <c r="G26" s="1471"/>
      <c r="H26" s="1471"/>
      <c r="I26" s="1471"/>
      <c r="J26" s="1471"/>
      <c r="K26" s="1471"/>
      <c r="L26" s="1471"/>
      <c r="M26" s="1471"/>
      <c r="N26" s="1471"/>
      <c r="O26" s="1471"/>
      <c r="P26" s="1472"/>
      <c r="S26" s="255"/>
      <c r="T26" s="256" t="s">
        <v>66</v>
      </c>
      <c r="U26" s="491">
        <f t="shared" ref="U26:U32" si="48">SUM(V26:AG26)</f>
        <v>0</v>
      </c>
      <c r="V26" s="514">
        <f>E26</f>
        <v>0</v>
      </c>
      <c r="W26" s="514">
        <f t="shared" si="45"/>
        <v>0</v>
      </c>
      <c r="X26" s="514">
        <f t="shared" si="45"/>
        <v>0</v>
      </c>
      <c r="Y26" s="514">
        <f t="shared" si="45"/>
        <v>0</v>
      </c>
      <c r="Z26" s="514">
        <f t="shared" si="45"/>
        <v>0</v>
      </c>
      <c r="AA26" s="514">
        <f t="shared" si="45"/>
        <v>0</v>
      </c>
      <c r="AB26" s="514">
        <f t="shared" si="45"/>
        <v>0</v>
      </c>
      <c r="AC26" s="514">
        <f t="shared" si="45"/>
        <v>0</v>
      </c>
      <c r="AD26" s="514">
        <f t="shared" si="45"/>
        <v>0</v>
      </c>
      <c r="AE26" s="514">
        <f t="shared" si="45"/>
        <v>0</v>
      </c>
      <c r="AF26" s="514">
        <f t="shared" si="45"/>
        <v>0</v>
      </c>
      <c r="AG26" s="525">
        <f t="shared" si="45"/>
        <v>0</v>
      </c>
      <c r="AI26" s="57"/>
      <c r="AJ26" s="59" t="s">
        <v>66</v>
      </c>
      <c r="AK26" s="1160">
        <f t="shared" ref="AK26:AK43" si="49">IF(D26=0,0,BA26/D26)</f>
        <v>0</v>
      </c>
      <c r="AL26" s="1499">
        <v>0.56000000000000005</v>
      </c>
      <c r="AM26" s="1499">
        <v>0.56000000000000005</v>
      </c>
      <c r="AN26" s="1499">
        <v>0.68</v>
      </c>
      <c r="AO26" s="1499">
        <v>0.65</v>
      </c>
      <c r="AP26" s="1499">
        <v>0.63</v>
      </c>
      <c r="AQ26" s="1499">
        <v>0.56000000000000005</v>
      </c>
      <c r="AR26" s="1499">
        <v>0.55000000000000004</v>
      </c>
      <c r="AS26" s="1499">
        <v>0.55000000000000004</v>
      </c>
      <c r="AT26" s="1499">
        <v>0.65</v>
      </c>
      <c r="AU26" s="1499">
        <v>0.6</v>
      </c>
      <c r="AV26" s="1499">
        <v>0.55000000000000004</v>
      </c>
      <c r="AW26" s="1500">
        <v>0.5</v>
      </c>
      <c r="AY26" s="57"/>
      <c r="AZ26" s="59" t="s">
        <v>66</v>
      </c>
      <c r="BA26" s="450">
        <f t="shared" ref="BA26:BA32" si="50">SUM(BB26:BM26)</f>
        <v>0</v>
      </c>
      <c r="BB26" s="514">
        <f t="shared" ref="BB26:BB43" si="51">V26*AL26</f>
        <v>0</v>
      </c>
      <c r="BC26" s="524">
        <f t="shared" si="46"/>
        <v>0</v>
      </c>
      <c r="BD26" s="524">
        <f t="shared" si="46"/>
        <v>0</v>
      </c>
      <c r="BE26" s="524">
        <f t="shared" si="46"/>
        <v>0</v>
      </c>
      <c r="BF26" s="524">
        <f t="shared" si="46"/>
        <v>0</v>
      </c>
      <c r="BG26" s="524">
        <f t="shared" si="46"/>
        <v>0</v>
      </c>
      <c r="BH26" s="524">
        <f t="shared" si="46"/>
        <v>0</v>
      </c>
      <c r="BI26" s="524">
        <f t="shared" si="46"/>
        <v>0</v>
      </c>
      <c r="BJ26" s="524">
        <f t="shared" si="46"/>
        <v>0</v>
      </c>
      <c r="BK26" s="524">
        <f t="shared" si="46"/>
        <v>0</v>
      </c>
      <c r="BL26" s="524">
        <f t="shared" si="46"/>
        <v>0</v>
      </c>
      <c r="BM26" s="525">
        <f t="shared" si="46"/>
        <v>0</v>
      </c>
      <c r="CK26" s="30" t="s">
        <v>3</v>
      </c>
      <c r="CL26" s="1134" t="str">
        <f>'3 Saalis'!CJ27</f>
        <v>0</v>
      </c>
      <c r="CM26" s="8" t="s">
        <v>38</v>
      </c>
      <c r="CN26" s="10"/>
      <c r="CO26" s="455">
        <f>'3 Saalis'!CM27</f>
        <v>0</v>
      </c>
      <c r="CP26" s="40" t="s">
        <v>26</v>
      </c>
      <c r="CQ26" s="14"/>
      <c r="CR26" s="14"/>
      <c r="CS26" s="14"/>
      <c r="CT26" s="17"/>
      <c r="CU26" s="457">
        <f>'3 Saalis'!CS27</f>
        <v>0</v>
      </c>
    </row>
    <row r="27" spans="2:102" ht="13.5" customHeight="1" thickBot="1" x14ac:dyDescent="0.25">
      <c r="B27" s="57"/>
      <c r="C27" s="59" t="s">
        <v>67</v>
      </c>
      <c r="D27" s="491">
        <f t="shared" si="47"/>
        <v>0</v>
      </c>
      <c r="E27" s="1470"/>
      <c r="F27" s="1471"/>
      <c r="G27" s="1471"/>
      <c r="H27" s="1471"/>
      <c r="I27" s="1471"/>
      <c r="J27" s="1471"/>
      <c r="K27" s="1471"/>
      <c r="L27" s="1471"/>
      <c r="M27" s="1471"/>
      <c r="N27" s="1471"/>
      <c r="O27" s="1471"/>
      <c r="P27" s="1472"/>
      <c r="S27" s="255"/>
      <c r="T27" s="256" t="s">
        <v>67</v>
      </c>
      <c r="U27" s="491">
        <f t="shared" si="48"/>
        <v>0</v>
      </c>
      <c r="V27" s="514">
        <f t="shared" ref="V27:V41" si="52">E27</f>
        <v>0</v>
      </c>
      <c r="W27" s="514">
        <f t="shared" si="45"/>
        <v>0</v>
      </c>
      <c r="X27" s="514">
        <f t="shared" si="45"/>
        <v>0</v>
      </c>
      <c r="Y27" s="514">
        <f t="shared" si="45"/>
        <v>0</v>
      </c>
      <c r="Z27" s="514">
        <f t="shared" si="45"/>
        <v>0</v>
      </c>
      <c r="AA27" s="514">
        <f t="shared" si="45"/>
        <v>0</v>
      </c>
      <c r="AB27" s="514">
        <f t="shared" si="45"/>
        <v>0</v>
      </c>
      <c r="AC27" s="514">
        <f t="shared" si="45"/>
        <v>0</v>
      </c>
      <c r="AD27" s="514">
        <f t="shared" si="45"/>
        <v>0</v>
      </c>
      <c r="AE27" s="514">
        <f t="shared" si="45"/>
        <v>0</v>
      </c>
      <c r="AF27" s="514">
        <f t="shared" si="45"/>
        <v>0</v>
      </c>
      <c r="AG27" s="525">
        <f t="shared" si="45"/>
        <v>0</v>
      </c>
      <c r="AI27" s="57"/>
      <c r="AJ27" s="59" t="s">
        <v>67</v>
      </c>
      <c r="AK27" s="574">
        <f t="shared" si="49"/>
        <v>0</v>
      </c>
      <c r="AL27" s="1501">
        <v>0.46</v>
      </c>
      <c r="AM27" s="1502">
        <v>0.5</v>
      </c>
      <c r="AN27" s="1502">
        <v>0.52</v>
      </c>
      <c r="AO27" s="1502">
        <v>0.53</v>
      </c>
      <c r="AP27" s="1502">
        <v>0.5</v>
      </c>
      <c r="AQ27" s="1502">
        <v>0.53</v>
      </c>
      <c r="AR27" s="1502">
        <v>0.55000000000000004</v>
      </c>
      <c r="AS27" s="1502">
        <v>0.5</v>
      </c>
      <c r="AT27" s="1502">
        <v>0.51</v>
      </c>
      <c r="AU27" s="1502">
        <v>0.49</v>
      </c>
      <c r="AV27" s="1502">
        <v>0.46</v>
      </c>
      <c r="AW27" s="1503">
        <v>0.51</v>
      </c>
      <c r="AY27" s="57"/>
      <c r="AZ27" s="59" t="s">
        <v>67</v>
      </c>
      <c r="BA27" s="450">
        <f t="shared" si="50"/>
        <v>0</v>
      </c>
      <c r="BB27" s="514">
        <f t="shared" si="51"/>
        <v>0</v>
      </c>
      <c r="BC27" s="524">
        <f t="shared" si="46"/>
        <v>0</v>
      </c>
      <c r="BD27" s="524">
        <f t="shared" si="46"/>
        <v>0</v>
      </c>
      <c r="BE27" s="524">
        <f t="shared" si="46"/>
        <v>0</v>
      </c>
      <c r="BF27" s="524">
        <f t="shared" si="46"/>
        <v>0</v>
      </c>
      <c r="BG27" s="524">
        <f t="shared" si="46"/>
        <v>0</v>
      </c>
      <c r="BH27" s="524">
        <f t="shared" si="46"/>
        <v>0</v>
      </c>
      <c r="BI27" s="524">
        <f t="shared" si="46"/>
        <v>0</v>
      </c>
      <c r="BJ27" s="524">
        <f t="shared" si="46"/>
        <v>0</v>
      </c>
      <c r="BK27" s="524">
        <f t="shared" si="46"/>
        <v>0</v>
      </c>
      <c r="BL27" s="524">
        <f t="shared" si="46"/>
        <v>0</v>
      </c>
      <c r="BM27" s="525">
        <f t="shared" si="46"/>
        <v>0</v>
      </c>
      <c r="CK27" s="34"/>
      <c r="CL27" s="34"/>
      <c r="CM27" s="45"/>
      <c r="CN27" s="34"/>
      <c r="CP27" s="46"/>
      <c r="CQ27" s="34"/>
      <c r="CV27" s="34"/>
    </row>
    <row r="28" spans="2:102" ht="13.5" thickBot="1" x14ac:dyDescent="0.25">
      <c r="B28" s="57"/>
      <c r="C28" s="59" t="s">
        <v>68</v>
      </c>
      <c r="D28" s="491">
        <f t="shared" si="47"/>
        <v>0</v>
      </c>
      <c r="E28" s="1470"/>
      <c r="F28" s="1471"/>
      <c r="G28" s="1471"/>
      <c r="H28" s="1471"/>
      <c r="I28" s="1471"/>
      <c r="J28" s="1471"/>
      <c r="K28" s="1471"/>
      <c r="L28" s="1471"/>
      <c r="M28" s="1471"/>
      <c r="N28" s="1471"/>
      <c r="O28" s="1471"/>
      <c r="P28" s="1472"/>
      <c r="S28" s="255"/>
      <c r="T28" s="256" t="s">
        <v>68</v>
      </c>
      <c r="U28" s="491">
        <f t="shared" si="48"/>
        <v>0</v>
      </c>
      <c r="V28" s="514">
        <f t="shared" si="52"/>
        <v>0</v>
      </c>
      <c r="W28" s="514">
        <f t="shared" si="45"/>
        <v>0</v>
      </c>
      <c r="X28" s="514">
        <f t="shared" si="45"/>
        <v>0</v>
      </c>
      <c r="Y28" s="514">
        <f t="shared" si="45"/>
        <v>0</v>
      </c>
      <c r="Z28" s="514">
        <f t="shared" si="45"/>
        <v>0</v>
      </c>
      <c r="AA28" s="514">
        <f t="shared" si="45"/>
        <v>0</v>
      </c>
      <c r="AB28" s="514">
        <f t="shared" si="45"/>
        <v>0</v>
      </c>
      <c r="AC28" s="514">
        <f t="shared" si="45"/>
        <v>0</v>
      </c>
      <c r="AD28" s="514">
        <f t="shared" si="45"/>
        <v>0</v>
      </c>
      <c r="AE28" s="514">
        <f t="shared" si="45"/>
        <v>0</v>
      </c>
      <c r="AF28" s="514">
        <f t="shared" si="45"/>
        <v>0</v>
      </c>
      <c r="AG28" s="525">
        <f t="shared" si="45"/>
        <v>0</v>
      </c>
      <c r="AI28" s="57"/>
      <c r="AJ28" s="59" t="s">
        <v>68</v>
      </c>
      <c r="AK28" s="574">
        <f t="shared" si="49"/>
        <v>0</v>
      </c>
      <c r="AL28" s="1501">
        <v>0.24</v>
      </c>
      <c r="AM28" s="1502">
        <v>0.32</v>
      </c>
      <c r="AN28" s="1502">
        <v>0.61</v>
      </c>
      <c r="AO28" s="1502">
        <v>0.3</v>
      </c>
      <c r="AP28" s="1502">
        <v>0.22</v>
      </c>
      <c r="AQ28" s="1502">
        <v>0.22</v>
      </c>
      <c r="AR28" s="1502">
        <v>0.37</v>
      </c>
      <c r="AS28" s="1502">
        <v>0.35</v>
      </c>
      <c r="AT28" s="1502">
        <v>0.32</v>
      </c>
      <c r="AU28" s="1502">
        <v>0.24</v>
      </c>
      <c r="AV28" s="1502">
        <v>0.24</v>
      </c>
      <c r="AW28" s="1503">
        <v>0.26</v>
      </c>
      <c r="AY28" s="57"/>
      <c r="AZ28" s="59" t="s">
        <v>68</v>
      </c>
      <c r="BA28" s="450">
        <f t="shared" si="50"/>
        <v>0</v>
      </c>
      <c r="BB28" s="514">
        <f t="shared" si="51"/>
        <v>0</v>
      </c>
      <c r="BC28" s="524">
        <f t="shared" si="46"/>
        <v>0</v>
      </c>
      <c r="BD28" s="524">
        <f t="shared" si="46"/>
        <v>0</v>
      </c>
      <c r="BE28" s="524">
        <f>Y28*AO28</f>
        <v>0</v>
      </c>
      <c r="BF28" s="524">
        <f t="shared" si="46"/>
        <v>0</v>
      </c>
      <c r="BG28" s="524">
        <f t="shared" si="46"/>
        <v>0</v>
      </c>
      <c r="BH28" s="524">
        <f t="shared" si="46"/>
        <v>0</v>
      </c>
      <c r="BI28" s="524">
        <f t="shared" si="46"/>
        <v>0</v>
      </c>
      <c r="BJ28" s="524">
        <f t="shared" si="46"/>
        <v>0</v>
      </c>
      <c r="BK28" s="524">
        <f t="shared" si="46"/>
        <v>0</v>
      </c>
      <c r="BL28" s="524">
        <f t="shared" si="46"/>
        <v>0</v>
      </c>
      <c r="BM28" s="525">
        <f t="shared" si="46"/>
        <v>0</v>
      </c>
      <c r="CK28" s="44" t="s">
        <v>380</v>
      </c>
      <c r="CL28" s="52" t="s">
        <v>40</v>
      </c>
      <c r="CM28" s="47"/>
      <c r="CN28" s="48"/>
      <c r="CO28" s="48"/>
      <c r="CP28" s="48"/>
      <c r="CQ28" s="48"/>
      <c r="CR28" s="41" t="s">
        <v>42</v>
      </c>
      <c r="CS28" s="48"/>
      <c r="CT28" s="48"/>
      <c r="CU28" s="48"/>
      <c r="CV28" s="48"/>
      <c r="CW28" s="48"/>
      <c r="CX28" s="49"/>
    </row>
    <row r="29" spans="2:102" ht="13.5" thickBot="1" x14ac:dyDescent="0.25">
      <c r="B29" s="57"/>
      <c r="C29" s="59" t="s">
        <v>69</v>
      </c>
      <c r="D29" s="491">
        <f t="shared" si="47"/>
        <v>0</v>
      </c>
      <c r="E29" s="1470"/>
      <c r="F29" s="1471"/>
      <c r="G29" s="1471"/>
      <c r="H29" s="1471"/>
      <c r="I29" s="1471"/>
      <c r="J29" s="1471"/>
      <c r="K29" s="1471"/>
      <c r="L29" s="1471"/>
      <c r="M29" s="1471"/>
      <c r="N29" s="1471"/>
      <c r="O29" s="1471"/>
      <c r="P29" s="1472"/>
      <c r="S29" s="255"/>
      <c r="T29" s="256" t="s">
        <v>69</v>
      </c>
      <c r="U29" s="491">
        <f t="shared" si="48"/>
        <v>0</v>
      </c>
      <c r="V29" s="514">
        <f t="shared" si="52"/>
        <v>0</v>
      </c>
      <c r="W29" s="514">
        <f t="shared" si="45"/>
        <v>0</v>
      </c>
      <c r="X29" s="514">
        <f t="shared" si="45"/>
        <v>0</v>
      </c>
      <c r="Y29" s="514">
        <f t="shared" si="45"/>
        <v>0</v>
      </c>
      <c r="Z29" s="514">
        <f t="shared" si="45"/>
        <v>0</v>
      </c>
      <c r="AA29" s="514">
        <f t="shared" si="45"/>
        <v>0</v>
      </c>
      <c r="AB29" s="514">
        <f t="shared" si="45"/>
        <v>0</v>
      </c>
      <c r="AC29" s="514">
        <f t="shared" si="45"/>
        <v>0</v>
      </c>
      <c r="AD29" s="514">
        <f t="shared" si="45"/>
        <v>0</v>
      </c>
      <c r="AE29" s="514">
        <f t="shared" si="45"/>
        <v>0</v>
      </c>
      <c r="AF29" s="514">
        <f t="shared" si="45"/>
        <v>0</v>
      </c>
      <c r="AG29" s="525">
        <f t="shared" si="45"/>
        <v>0</v>
      </c>
      <c r="AI29" s="57"/>
      <c r="AJ29" s="59" t="s">
        <v>69</v>
      </c>
      <c r="AK29" s="574">
        <f t="shared" si="49"/>
        <v>0</v>
      </c>
      <c r="AL29" s="1501">
        <v>0.17</v>
      </c>
      <c r="AM29" s="1502">
        <v>0.18</v>
      </c>
      <c r="AN29" s="1502">
        <v>0.19</v>
      </c>
      <c r="AO29" s="1502">
        <v>0.19</v>
      </c>
      <c r="AP29" s="1502">
        <v>0.18</v>
      </c>
      <c r="AQ29" s="1502">
        <v>0.18</v>
      </c>
      <c r="AR29" s="1502">
        <v>0.2</v>
      </c>
      <c r="AS29" s="1502">
        <v>0.19</v>
      </c>
      <c r="AT29" s="1502">
        <v>0.19</v>
      </c>
      <c r="AU29" s="1502">
        <v>0.19</v>
      </c>
      <c r="AV29" s="1502">
        <v>0.19</v>
      </c>
      <c r="AW29" s="1503">
        <v>0.2</v>
      </c>
      <c r="AY29" s="57"/>
      <c r="AZ29" s="59" t="s">
        <v>69</v>
      </c>
      <c r="BA29" s="450">
        <f t="shared" si="50"/>
        <v>0</v>
      </c>
      <c r="BB29" s="514">
        <f t="shared" si="51"/>
        <v>0</v>
      </c>
      <c r="BC29" s="524">
        <f t="shared" si="46"/>
        <v>0</v>
      </c>
      <c r="BD29" s="524">
        <f t="shared" si="46"/>
        <v>0</v>
      </c>
      <c r="BE29" s="524">
        <f t="shared" si="46"/>
        <v>0</v>
      </c>
      <c r="BF29" s="524">
        <f t="shared" si="46"/>
        <v>0</v>
      </c>
      <c r="BG29" s="524">
        <f t="shared" si="46"/>
        <v>0</v>
      </c>
      <c r="BH29" s="524">
        <f t="shared" si="46"/>
        <v>0</v>
      </c>
      <c r="BI29" s="524">
        <f t="shared" si="46"/>
        <v>0</v>
      </c>
      <c r="BJ29" s="524">
        <f t="shared" si="46"/>
        <v>0</v>
      </c>
      <c r="BK29" s="524">
        <f t="shared" si="46"/>
        <v>0</v>
      </c>
      <c r="BL29" s="524">
        <f t="shared" si="46"/>
        <v>0</v>
      </c>
      <c r="BM29" s="525">
        <f t="shared" si="46"/>
        <v>0</v>
      </c>
      <c r="CK29" s="54"/>
      <c r="CL29" s="55" t="s">
        <v>41</v>
      </c>
      <c r="CM29" s="72">
        <v>1</v>
      </c>
      <c r="CN29" s="70">
        <v>2</v>
      </c>
      <c r="CO29" s="70">
        <v>3</v>
      </c>
      <c r="CP29" s="70">
        <v>4</v>
      </c>
      <c r="CQ29" s="70">
        <v>5</v>
      </c>
      <c r="CR29" s="70">
        <v>6</v>
      </c>
      <c r="CS29" s="70">
        <v>7</v>
      </c>
      <c r="CT29" s="70">
        <v>8</v>
      </c>
      <c r="CU29" s="70">
        <v>9</v>
      </c>
      <c r="CV29" s="70">
        <v>10</v>
      </c>
      <c r="CW29" s="70">
        <v>11</v>
      </c>
      <c r="CX29" s="71">
        <v>12</v>
      </c>
    </row>
    <row r="30" spans="2:102" x14ac:dyDescent="0.2">
      <c r="B30" s="57"/>
      <c r="C30" s="59" t="s">
        <v>275</v>
      </c>
      <c r="D30" s="491">
        <f t="shared" si="47"/>
        <v>0</v>
      </c>
      <c r="E30" s="1470"/>
      <c r="F30" s="1471"/>
      <c r="G30" s="1471"/>
      <c r="H30" s="1471"/>
      <c r="I30" s="1471"/>
      <c r="J30" s="1471"/>
      <c r="K30" s="1471"/>
      <c r="L30" s="1471"/>
      <c r="M30" s="1471"/>
      <c r="N30" s="1471"/>
      <c r="O30" s="1471"/>
      <c r="P30" s="1472"/>
      <c r="S30" s="255"/>
      <c r="T30" s="59" t="s">
        <v>275</v>
      </c>
      <c r="U30" s="491">
        <f t="shared" si="48"/>
        <v>0</v>
      </c>
      <c r="V30" s="514">
        <f t="shared" si="52"/>
        <v>0</v>
      </c>
      <c r="W30" s="514">
        <f t="shared" si="45"/>
        <v>0</v>
      </c>
      <c r="X30" s="514">
        <f t="shared" si="45"/>
        <v>0</v>
      </c>
      <c r="Y30" s="514">
        <f t="shared" si="45"/>
        <v>0</v>
      </c>
      <c r="Z30" s="514">
        <f t="shared" si="45"/>
        <v>0</v>
      </c>
      <c r="AA30" s="514">
        <f t="shared" si="45"/>
        <v>0</v>
      </c>
      <c r="AB30" s="514">
        <f t="shared" si="45"/>
        <v>0</v>
      </c>
      <c r="AC30" s="514">
        <f t="shared" si="45"/>
        <v>0</v>
      </c>
      <c r="AD30" s="514">
        <f t="shared" si="45"/>
        <v>0</v>
      </c>
      <c r="AE30" s="514">
        <f t="shared" si="45"/>
        <v>0</v>
      </c>
      <c r="AF30" s="514">
        <f t="shared" si="45"/>
        <v>0</v>
      </c>
      <c r="AG30" s="525">
        <f t="shared" si="45"/>
        <v>0</v>
      </c>
      <c r="AI30" s="57"/>
      <c r="AJ30" s="59" t="s">
        <v>275</v>
      </c>
      <c r="AK30" s="574">
        <f t="shared" si="49"/>
        <v>0</v>
      </c>
      <c r="AL30" s="1501">
        <v>0.14000000000000001</v>
      </c>
      <c r="AM30" s="1502">
        <v>0.14000000000000001</v>
      </c>
      <c r="AN30" s="1502">
        <v>0.14000000000000001</v>
      </c>
      <c r="AO30" s="1502">
        <v>0.18</v>
      </c>
      <c r="AP30" s="1502">
        <v>0.18</v>
      </c>
      <c r="AQ30" s="1502">
        <v>0.18</v>
      </c>
      <c r="AR30" s="1502">
        <v>0.18</v>
      </c>
      <c r="AS30" s="1502">
        <v>0.18</v>
      </c>
      <c r="AT30" s="1502">
        <v>0.19</v>
      </c>
      <c r="AU30" s="1502">
        <v>0.18</v>
      </c>
      <c r="AV30" s="1502">
        <v>0.18</v>
      </c>
      <c r="AW30" s="1503">
        <v>0.19</v>
      </c>
      <c r="AY30" s="57"/>
      <c r="AZ30" s="59" t="s">
        <v>275</v>
      </c>
      <c r="BA30" s="450">
        <f t="shared" si="50"/>
        <v>0</v>
      </c>
      <c r="BB30" s="514">
        <f t="shared" si="51"/>
        <v>0</v>
      </c>
      <c r="BC30" s="524">
        <f t="shared" si="46"/>
        <v>0</v>
      </c>
      <c r="BD30" s="524">
        <f t="shared" si="46"/>
        <v>0</v>
      </c>
      <c r="BE30" s="524">
        <f t="shared" si="46"/>
        <v>0</v>
      </c>
      <c r="BF30" s="524">
        <f t="shared" si="46"/>
        <v>0</v>
      </c>
      <c r="BG30" s="524">
        <f t="shared" si="46"/>
        <v>0</v>
      </c>
      <c r="BH30" s="524">
        <f t="shared" si="46"/>
        <v>0</v>
      </c>
      <c r="BI30" s="524">
        <f t="shared" si="46"/>
        <v>0</v>
      </c>
      <c r="BJ30" s="524">
        <f t="shared" si="46"/>
        <v>0</v>
      </c>
      <c r="BK30" s="524">
        <f t="shared" si="46"/>
        <v>0</v>
      </c>
      <c r="BL30" s="524">
        <f t="shared" si="46"/>
        <v>0</v>
      </c>
      <c r="BM30" s="525">
        <f t="shared" si="46"/>
        <v>0</v>
      </c>
      <c r="CK30" s="5" t="s">
        <v>100</v>
      </c>
      <c r="CL30" s="425">
        <f>SUM(CM30:CX30)</f>
        <v>0</v>
      </c>
      <c r="CM30" s="509">
        <f>CM7*'3 Saalis'!CK31</f>
        <v>0</v>
      </c>
      <c r="CN30" s="434">
        <f>CN7*'3 Saalis'!CL31</f>
        <v>0</v>
      </c>
      <c r="CO30" s="434">
        <f>CO7*'3 Saalis'!CM31</f>
        <v>0</v>
      </c>
      <c r="CP30" s="434">
        <f>CP7*'3 Saalis'!CN31</f>
        <v>0</v>
      </c>
      <c r="CQ30" s="434">
        <f>CQ7*'3 Saalis'!CO31</f>
        <v>0</v>
      </c>
      <c r="CR30" s="434">
        <f>CR7*'3 Saalis'!CP31</f>
        <v>0</v>
      </c>
      <c r="CS30" s="434">
        <f>CS7*'3 Saalis'!CQ31</f>
        <v>0</v>
      </c>
      <c r="CT30" s="434">
        <f>CT7*'3 Saalis'!CR31</f>
        <v>0</v>
      </c>
      <c r="CU30" s="434">
        <f>CU7*'3 Saalis'!CS31</f>
        <v>0</v>
      </c>
      <c r="CV30" s="434">
        <f>CV7*'3 Saalis'!CT31</f>
        <v>0</v>
      </c>
      <c r="CW30" s="434">
        <f>CW7*'3 Saalis'!CU31</f>
        <v>0</v>
      </c>
      <c r="CX30" s="435">
        <f>CX7*'3 Saalis'!CV31</f>
        <v>0</v>
      </c>
    </row>
    <row r="31" spans="2:102" x14ac:dyDescent="0.2">
      <c r="B31" s="57"/>
      <c r="C31" s="59" t="s">
        <v>71</v>
      </c>
      <c r="D31" s="491">
        <f t="shared" si="47"/>
        <v>0</v>
      </c>
      <c r="E31" s="1470"/>
      <c r="F31" s="1471"/>
      <c r="G31" s="1471"/>
      <c r="H31" s="1471"/>
      <c r="I31" s="1471"/>
      <c r="J31" s="1471"/>
      <c r="K31" s="1471"/>
      <c r="L31" s="1471"/>
      <c r="M31" s="1471"/>
      <c r="N31" s="1471"/>
      <c r="O31" s="1471"/>
      <c r="P31" s="1472"/>
      <c r="S31" s="255"/>
      <c r="T31" s="256" t="s">
        <v>71</v>
      </c>
      <c r="U31" s="491">
        <f t="shared" si="48"/>
        <v>0</v>
      </c>
      <c r="V31" s="514">
        <f t="shared" si="52"/>
        <v>0</v>
      </c>
      <c r="W31" s="514">
        <f t="shared" si="45"/>
        <v>0</v>
      </c>
      <c r="X31" s="514">
        <f t="shared" si="45"/>
        <v>0</v>
      </c>
      <c r="Y31" s="514">
        <f t="shared" si="45"/>
        <v>0</v>
      </c>
      <c r="Z31" s="514">
        <f t="shared" si="45"/>
        <v>0</v>
      </c>
      <c r="AA31" s="514">
        <f t="shared" si="45"/>
        <v>0</v>
      </c>
      <c r="AB31" s="514">
        <f t="shared" si="45"/>
        <v>0</v>
      </c>
      <c r="AC31" s="514">
        <f t="shared" si="45"/>
        <v>0</v>
      </c>
      <c r="AD31" s="514">
        <f t="shared" si="45"/>
        <v>0</v>
      </c>
      <c r="AE31" s="514">
        <f t="shared" si="45"/>
        <v>0</v>
      </c>
      <c r="AF31" s="514">
        <f t="shared" si="45"/>
        <v>0</v>
      </c>
      <c r="AG31" s="525">
        <f t="shared" si="45"/>
        <v>0</v>
      </c>
      <c r="AI31" s="57"/>
      <c r="AJ31" s="59" t="s">
        <v>71</v>
      </c>
      <c r="AK31" s="574">
        <f t="shared" si="49"/>
        <v>0</v>
      </c>
      <c r="AL31" s="1501">
        <v>0.13</v>
      </c>
      <c r="AM31" s="1502">
        <v>0.14000000000000001</v>
      </c>
      <c r="AN31" s="1502">
        <v>0.15</v>
      </c>
      <c r="AO31" s="1502">
        <v>0.15</v>
      </c>
      <c r="AP31" s="1502">
        <v>0.17</v>
      </c>
      <c r="AQ31" s="1502">
        <v>0.17</v>
      </c>
      <c r="AR31" s="1502">
        <v>0.17</v>
      </c>
      <c r="AS31" s="1502">
        <v>0.17</v>
      </c>
      <c r="AT31" s="1502">
        <v>0.17</v>
      </c>
      <c r="AU31" s="1502">
        <v>0.17</v>
      </c>
      <c r="AV31" s="1502">
        <v>0.17</v>
      </c>
      <c r="AW31" s="1503">
        <v>0.17</v>
      </c>
      <c r="AY31" s="57"/>
      <c r="AZ31" s="59" t="s">
        <v>71</v>
      </c>
      <c r="BA31" s="450">
        <f t="shared" si="50"/>
        <v>0</v>
      </c>
      <c r="BB31" s="514">
        <f t="shared" si="51"/>
        <v>0</v>
      </c>
      <c r="BC31" s="524">
        <f t="shared" si="46"/>
        <v>0</v>
      </c>
      <c r="BD31" s="524">
        <f t="shared" si="46"/>
        <v>0</v>
      </c>
      <c r="BE31" s="524">
        <f t="shared" si="46"/>
        <v>0</v>
      </c>
      <c r="BF31" s="524">
        <f t="shared" si="46"/>
        <v>0</v>
      </c>
      <c r="BG31" s="524">
        <f t="shared" si="46"/>
        <v>0</v>
      </c>
      <c r="BH31" s="524">
        <f t="shared" si="46"/>
        <v>0</v>
      </c>
      <c r="BI31" s="524">
        <f t="shared" si="46"/>
        <v>0</v>
      </c>
      <c r="BJ31" s="524">
        <f t="shared" si="46"/>
        <v>0</v>
      </c>
      <c r="BK31" s="524">
        <f t="shared" si="46"/>
        <v>0</v>
      </c>
      <c r="BL31" s="524">
        <f t="shared" si="46"/>
        <v>0</v>
      </c>
      <c r="BM31" s="525">
        <f t="shared" si="46"/>
        <v>0</v>
      </c>
      <c r="CJ31" s="27"/>
      <c r="CK31" s="57" t="s">
        <v>108</v>
      </c>
      <c r="CL31" s="510">
        <f t="shared" ref="CL31:CL41" si="53">SUM(CM31:CX31)</f>
        <v>0</v>
      </c>
      <c r="CM31" s="511">
        <f>CM8*'3 Saalis'!CK32</f>
        <v>0</v>
      </c>
      <c r="CN31" s="438">
        <f>CN8*'3 Saalis'!CL32</f>
        <v>0</v>
      </c>
      <c r="CO31" s="438">
        <f>CO8*'3 Saalis'!CM32</f>
        <v>0</v>
      </c>
      <c r="CP31" s="438">
        <f>CP8*'3 Saalis'!CN32</f>
        <v>0</v>
      </c>
      <c r="CQ31" s="438">
        <f>CQ8*'3 Saalis'!CO32</f>
        <v>0</v>
      </c>
      <c r="CR31" s="438">
        <f>CR8*'3 Saalis'!CP32</f>
        <v>0</v>
      </c>
      <c r="CS31" s="438">
        <f>CS8*'3 Saalis'!CQ32</f>
        <v>0</v>
      </c>
      <c r="CT31" s="438">
        <f>CT8*'3 Saalis'!CR32</f>
        <v>0</v>
      </c>
      <c r="CU31" s="438">
        <f>CU8*'3 Saalis'!CS32</f>
        <v>0</v>
      </c>
      <c r="CV31" s="438">
        <f>CV8*'3 Saalis'!CT32</f>
        <v>0</v>
      </c>
      <c r="CW31" s="438">
        <f>CW8*'3 Saalis'!CU32</f>
        <v>0</v>
      </c>
      <c r="CX31" s="439">
        <f>CX8*'3 Saalis'!CV32</f>
        <v>0</v>
      </c>
    </row>
    <row r="32" spans="2:102" x14ac:dyDescent="0.2">
      <c r="B32" s="57"/>
      <c r="C32" s="59" t="s">
        <v>70</v>
      </c>
      <c r="D32" s="491">
        <f t="shared" si="47"/>
        <v>0</v>
      </c>
      <c r="E32" s="1473"/>
      <c r="F32" s="1474"/>
      <c r="G32" s="1474"/>
      <c r="H32" s="1474"/>
      <c r="I32" s="1474"/>
      <c r="J32" s="1474"/>
      <c r="K32" s="1474"/>
      <c r="L32" s="1474"/>
      <c r="M32" s="1474"/>
      <c r="N32" s="1474"/>
      <c r="O32" s="1474"/>
      <c r="P32" s="1475"/>
      <c r="S32" s="255"/>
      <c r="T32" s="256" t="s">
        <v>70</v>
      </c>
      <c r="U32" s="491">
        <f t="shared" si="48"/>
        <v>0</v>
      </c>
      <c r="V32" s="513">
        <f t="shared" si="52"/>
        <v>0</v>
      </c>
      <c r="W32" s="485">
        <f t="shared" si="45"/>
        <v>0</v>
      </c>
      <c r="X32" s="485">
        <f t="shared" si="45"/>
        <v>0</v>
      </c>
      <c r="Y32" s="485">
        <f t="shared" si="45"/>
        <v>0</v>
      </c>
      <c r="Z32" s="485">
        <f t="shared" si="45"/>
        <v>0</v>
      </c>
      <c r="AA32" s="485">
        <f t="shared" si="45"/>
        <v>0</v>
      </c>
      <c r="AB32" s="485">
        <f t="shared" si="45"/>
        <v>0</v>
      </c>
      <c r="AC32" s="485">
        <f t="shared" si="45"/>
        <v>0</v>
      </c>
      <c r="AD32" s="485">
        <f t="shared" si="45"/>
        <v>0</v>
      </c>
      <c r="AE32" s="485">
        <f t="shared" si="45"/>
        <v>0</v>
      </c>
      <c r="AF32" s="485">
        <f t="shared" si="45"/>
        <v>0</v>
      </c>
      <c r="AG32" s="486">
        <f t="shared" si="45"/>
        <v>0</v>
      </c>
      <c r="AI32" s="57"/>
      <c r="AJ32" s="256" t="s">
        <v>70</v>
      </c>
      <c r="AK32" s="574">
        <f t="shared" si="49"/>
        <v>0</v>
      </c>
      <c r="AL32" s="1501">
        <v>0.21</v>
      </c>
      <c r="AM32" s="1502">
        <v>0.24</v>
      </c>
      <c r="AN32" s="1502">
        <v>0.26</v>
      </c>
      <c r="AO32" s="1502">
        <v>0.22</v>
      </c>
      <c r="AP32" s="1502">
        <v>0.21</v>
      </c>
      <c r="AQ32" s="1502">
        <v>0.22</v>
      </c>
      <c r="AR32" s="1502">
        <v>0.38</v>
      </c>
      <c r="AS32" s="1502">
        <v>0.36</v>
      </c>
      <c r="AT32" s="1502">
        <v>0.3</v>
      </c>
      <c r="AU32" s="1502">
        <v>0.25</v>
      </c>
      <c r="AV32" s="1502">
        <v>0.24</v>
      </c>
      <c r="AW32" s="1503">
        <v>0.25</v>
      </c>
      <c r="AY32" s="57"/>
      <c r="AZ32" s="59" t="s">
        <v>70</v>
      </c>
      <c r="BA32" s="450">
        <f t="shared" si="50"/>
        <v>0</v>
      </c>
      <c r="BB32" s="514">
        <f t="shared" si="51"/>
        <v>0</v>
      </c>
      <c r="BC32" s="524">
        <f t="shared" si="46"/>
        <v>0</v>
      </c>
      <c r="BD32" s="524">
        <f t="shared" si="46"/>
        <v>0</v>
      </c>
      <c r="BE32" s="524">
        <f t="shared" si="46"/>
        <v>0</v>
      </c>
      <c r="BF32" s="524">
        <f t="shared" si="46"/>
        <v>0</v>
      </c>
      <c r="BG32" s="524">
        <f t="shared" si="46"/>
        <v>0</v>
      </c>
      <c r="BH32" s="524">
        <f t="shared" si="46"/>
        <v>0</v>
      </c>
      <c r="BI32" s="524">
        <f t="shared" si="46"/>
        <v>0</v>
      </c>
      <c r="BJ32" s="524">
        <f t="shared" si="46"/>
        <v>0</v>
      </c>
      <c r="BK32" s="524">
        <f t="shared" si="46"/>
        <v>0</v>
      </c>
      <c r="BL32" s="524">
        <f t="shared" si="46"/>
        <v>0</v>
      </c>
      <c r="BM32" s="525">
        <f t="shared" si="46"/>
        <v>0</v>
      </c>
      <c r="CJ32" s="27"/>
      <c r="CK32" s="57" t="s">
        <v>101</v>
      </c>
      <c r="CL32" s="510">
        <f t="shared" si="53"/>
        <v>0</v>
      </c>
      <c r="CM32" s="511">
        <f>CM9*'3 Saalis'!CK33</f>
        <v>0</v>
      </c>
      <c r="CN32" s="438">
        <f>CN9*'3 Saalis'!CL33</f>
        <v>0</v>
      </c>
      <c r="CO32" s="438">
        <f>CO9*'3 Saalis'!CM33</f>
        <v>0</v>
      </c>
      <c r="CP32" s="438">
        <f>CP9*'3 Saalis'!CN33</f>
        <v>0</v>
      </c>
      <c r="CQ32" s="438">
        <f>CQ9*'3 Saalis'!CO33</f>
        <v>0</v>
      </c>
      <c r="CR32" s="438">
        <f>CR9*'3 Saalis'!CP33</f>
        <v>0</v>
      </c>
      <c r="CS32" s="438">
        <f>CS9*'3 Saalis'!CQ33</f>
        <v>0</v>
      </c>
      <c r="CT32" s="438">
        <f>CT9*'3 Saalis'!CR33</f>
        <v>0</v>
      </c>
      <c r="CU32" s="438">
        <f>CU9*'3 Saalis'!CS33</f>
        <v>0</v>
      </c>
      <c r="CV32" s="438">
        <f>CV9*'3 Saalis'!CT33</f>
        <v>0</v>
      </c>
      <c r="CW32" s="438">
        <f>CW9*'3 Saalis'!CU33</f>
        <v>0</v>
      </c>
      <c r="CX32" s="439">
        <f>CX9*'3 Saalis'!CV33</f>
        <v>0</v>
      </c>
    </row>
    <row r="33" spans="2:103" ht="13.5" thickBot="1" x14ac:dyDescent="0.25">
      <c r="B33" s="40"/>
      <c r="C33" s="56" t="s">
        <v>91</v>
      </c>
      <c r="D33" s="492">
        <f>SUM(E33:P33)</f>
        <v>0</v>
      </c>
      <c r="E33" s="1476"/>
      <c r="F33" s="1477"/>
      <c r="G33" s="1477"/>
      <c r="H33" s="1477"/>
      <c r="I33" s="1477"/>
      <c r="J33" s="1477"/>
      <c r="K33" s="1477"/>
      <c r="L33" s="1477"/>
      <c r="M33" s="1477"/>
      <c r="N33" s="1477"/>
      <c r="O33" s="1477"/>
      <c r="P33" s="1478"/>
      <c r="S33" s="258"/>
      <c r="T33" s="259" t="s">
        <v>91</v>
      </c>
      <c r="U33" s="492">
        <f>SUM(V33:AG33)</f>
        <v>0</v>
      </c>
      <c r="V33" s="440">
        <f t="shared" si="52"/>
        <v>0</v>
      </c>
      <c r="W33" s="441">
        <f t="shared" si="45"/>
        <v>0</v>
      </c>
      <c r="X33" s="441">
        <f t="shared" si="45"/>
        <v>0</v>
      </c>
      <c r="Y33" s="441">
        <f t="shared" si="45"/>
        <v>0</v>
      </c>
      <c r="Z33" s="441">
        <f t="shared" si="45"/>
        <v>0</v>
      </c>
      <c r="AA33" s="441">
        <f t="shared" si="45"/>
        <v>0</v>
      </c>
      <c r="AB33" s="441">
        <f t="shared" si="45"/>
        <v>0</v>
      </c>
      <c r="AC33" s="441">
        <f t="shared" si="45"/>
        <v>0</v>
      </c>
      <c r="AD33" s="441">
        <f t="shared" si="45"/>
        <v>0</v>
      </c>
      <c r="AE33" s="441">
        <f t="shared" si="45"/>
        <v>0</v>
      </c>
      <c r="AF33" s="441">
        <f t="shared" si="45"/>
        <v>0</v>
      </c>
      <c r="AG33" s="442">
        <f t="shared" si="45"/>
        <v>0</v>
      </c>
      <c r="AI33" s="57"/>
      <c r="AJ33" s="59" t="s">
        <v>91</v>
      </c>
      <c r="AK33" s="575">
        <f t="shared" si="49"/>
        <v>0</v>
      </c>
      <c r="AL33" s="1504">
        <v>30</v>
      </c>
      <c r="AM33" s="1505">
        <v>30</v>
      </c>
      <c r="AN33" s="1505">
        <v>30</v>
      </c>
      <c r="AO33" s="1505">
        <v>30</v>
      </c>
      <c r="AP33" s="1505">
        <v>30</v>
      </c>
      <c r="AQ33" s="1505">
        <v>30</v>
      </c>
      <c r="AR33" s="1505">
        <v>30</v>
      </c>
      <c r="AS33" s="1505">
        <v>30</v>
      </c>
      <c r="AT33" s="1505">
        <v>30</v>
      </c>
      <c r="AU33" s="1505">
        <v>30</v>
      </c>
      <c r="AV33" s="1505">
        <v>30</v>
      </c>
      <c r="AW33" s="1506">
        <v>30</v>
      </c>
      <c r="AY33" s="57"/>
      <c r="AZ33" s="59" t="s">
        <v>91</v>
      </c>
      <c r="BA33" s="594">
        <f>SUM(BB33:BM33)</f>
        <v>0</v>
      </c>
      <c r="BB33" s="518">
        <f t="shared" si="51"/>
        <v>0</v>
      </c>
      <c r="BC33" s="542">
        <f t="shared" si="46"/>
        <v>0</v>
      </c>
      <c r="BD33" s="542">
        <f t="shared" si="46"/>
        <v>0</v>
      </c>
      <c r="BE33" s="542">
        <f t="shared" si="46"/>
        <v>0</v>
      </c>
      <c r="BF33" s="542">
        <f t="shared" si="46"/>
        <v>0</v>
      </c>
      <c r="BG33" s="542">
        <f t="shared" si="46"/>
        <v>0</v>
      </c>
      <c r="BH33" s="542">
        <f t="shared" si="46"/>
        <v>0</v>
      </c>
      <c r="BI33" s="542">
        <f t="shared" si="46"/>
        <v>0</v>
      </c>
      <c r="BJ33" s="542">
        <f t="shared" si="46"/>
        <v>0</v>
      </c>
      <c r="BK33" s="542">
        <f t="shared" si="46"/>
        <v>0</v>
      </c>
      <c r="BL33" s="542">
        <f t="shared" si="46"/>
        <v>0</v>
      </c>
      <c r="BM33" s="532">
        <f t="shared" si="46"/>
        <v>0</v>
      </c>
      <c r="CJ33" s="27" t="s">
        <v>1</v>
      </c>
      <c r="CK33" s="57" t="s">
        <v>102</v>
      </c>
      <c r="CL33" s="510">
        <f t="shared" si="53"/>
        <v>0</v>
      </c>
      <c r="CM33" s="511">
        <f>CM10*'3 Saalis'!CK34</f>
        <v>0</v>
      </c>
      <c r="CN33" s="438">
        <f>CN10*'3 Saalis'!CL34</f>
        <v>0</v>
      </c>
      <c r="CO33" s="438">
        <f>CO10*'3 Saalis'!CM34</f>
        <v>0</v>
      </c>
      <c r="CP33" s="438">
        <f>CP10*'3 Saalis'!CN34</f>
        <v>0</v>
      </c>
      <c r="CQ33" s="438">
        <f>CQ10*'3 Saalis'!CO34</f>
        <v>0</v>
      </c>
      <c r="CR33" s="438">
        <f>CR10*'3 Saalis'!CP34</f>
        <v>0</v>
      </c>
      <c r="CS33" s="438">
        <f>CS10*'3 Saalis'!CQ34</f>
        <v>0</v>
      </c>
      <c r="CT33" s="438">
        <f>CT10*'3 Saalis'!CR34</f>
        <v>0</v>
      </c>
      <c r="CU33" s="438">
        <f>CU10*'3 Saalis'!CS34</f>
        <v>0</v>
      </c>
      <c r="CV33" s="438">
        <f>CV10*'3 Saalis'!CT34</f>
        <v>0</v>
      </c>
      <c r="CW33" s="438">
        <f>CW10*'3 Saalis'!CU34</f>
        <v>0</v>
      </c>
      <c r="CX33" s="439">
        <f>CX10*'3 Saalis'!CV34</f>
        <v>0</v>
      </c>
    </row>
    <row r="34" spans="2:103" x14ac:dyDescent="0.2">
      <c r="B34" s="57" t="s">
        <v>79</v>
      </c>
      <c r="C34" s="59" t="s">
        <v>65</v>
      </c>
      <c r="D34" s="490">
        <f t="shared" ref="D34:D42" si="54">SUM(E34:P34)</f>
        <v>0</v>
      </c>
      <c r="E34" s="1479"/>
      <c r="F34" s="1480"/>
      <c r="G34" s="1480"/>
      <c r="H34" s="1480"/>
      <c r="I34" s="1480"/>
      <c r="J34" s="1480"/>
      <c r="K34" s="1480"/>
      <c r="L34" s="1480"/>
      <c r="M34" s="1480"/>
      <c r="N34" s="1480"/>
      <c r="O34" s="1480"/>
      <c r="P34" s="1481"/>
      <c r="S34" s="255" t="s">
        <v>79</v>
      </c>
      <c r="T34" s="256" t="s">
        <v>65</v>
      </c>
      <c r="U34" s="490">
        <f t="shared" ref="U34:U41" si="55">SUM(V34:AG34)</f>
        <v>0</v>
      </c>
      <c r="V34" s="516">
        <f t="shared" si="52"/>
        <v>0</v>
      </c>
      <c r="W34" s="516">
        <f t="shared" si="45"/>
        <v>0</v>
      </c>
      <c r="X34" s="516">
        <f t="shared" si="45"/>
        <v>0</v>
      </c>
      <c r="Y34" s="516">
        <f t="shared" si="45"/>
        <v>0</v>
      </c>
      <c r="Z34" s="516">
        <f t="shared" si="45"/>
        <v>0</v>
      </c>
      <c r="AA34" s="516">
        <f t="shared" si="45"/>
        <v>0</v>
      </c>
      <c r="AB34" s="516">
        <f t="shared" si="45"/>
        <v>0</v>
      </c>
      <c r="AC34" s="516">
        <f t="shared" si="45"/>
        <v>0</v>
      </c>
      <c r="AD34" s="516">
        <f t="shared" si="45"/>
        <v>0</v>
      </c>
      <c r="AE34" s="516">
        <f t="shared" si="45"/>
        <v>0</v>
      </c>
      <c r="AF34" s="516">
        <f t="shared" si="45"/>
        <v>0</v>
      </c>
      <c r="AG34" s="535">
        <f t="shared" si="45"/>
        <v>0</v>
      </c>
      <c r="AI34" s="5" t="s">
        <v>532</v>
      </c>
      <c r="AJ34" s="36" t="s">
        <v>65</v>
      </c>
      <c r="AK34" s="576">
        <f>IF(D34=0,0,BA34/D34)</f>
        <v>0</v>
      </c>
      <c r="AL34" s="1507">
        <v>0.56000000000000005</v>
      </c>
      <c r="AM34" s="1507">
        <v>0.56000000000000005</v>
      </c>
      <c r="AN34" s="1507">
        <v>0.68</v>
      </c>
      <c r="AO34" s="1507">
        <v>0.65</v>
      </c>
      <c r="AP34" s="1507">
        <v>0.63</v>
      </c>
      <c r="AQ34" s="1507">
        <v>0.56000000000000005</v>
      </c>
      <c r="AR34" s="1507">
        <v>0.55000000000000004</v>
      </c>
      <c r="AS34" s="1507">
        <v>0.55000000000000004</v>
      </c>
      <c r="AT34" s="1507">
        <v>0.65</v>
      </c>
      <c r="AU34" s="1507">
        <v>0.6</v>
      </c>
      <c r="AV34" s="1507">
        <v>0.55000000000000004</v>
      </c>
      <c r="AW34" s="1498">
        <v>0.5</v>
      </c>
      <c r="AY34" s="5" t="s">
        <v>79</v>
      </c>
      <c r="AZ34" s="36" t="s">
        <v>65</v>
      </c>
      <c r="BA34" s="449">
        <f>SUM(BB34:BM34)</f>
        <v>0</v>
      </c>
      <c r="BB34" s="499">
        <f t="shared" si="51"/>
        <v>0</v>
      </c>
      <c r="BC34" s="500">
        <f t="shared" si="46"/>
        <v>0</v>
      </c>
      <c r="BD34" s="500">
        <f t="shared" si="46"/>
        <v>0</v>
      </c>
      <c r="BE34" s="500">
        <f t="shared" si="46"/>
        <v>0</v>
      </c>
      <c r="BF34" s="500">
        <f t="shared" si="46"/>
        <v>0</v>
      </c>
      <c r="BG34" s="500">
        <f t="shared" si="46"/>
        <v>0</v>
      </c>
      <c r="BH34" s="500">
        <f t="shared" si="46"/>
        <v>0</v>
      </c>
      <c r="BI34" s="500">
        <f t="shared" si="46"/>
        <v>0</v>
      </c>
      <c r="BJ34" s="500">
        <f t="shared" si="46"/>
        <v>0</v>
      </c>
      <c r="BK34" s="500">
        <f t="shared" si="46"/>
        <v>0</v>
      </c>
      <c r="BL34" s="500">
        <f t="shared" si="46"/>
        <v>0</v>
      </c>
      <c r="BM34" s="529">
        <f t="shared" si="46"/>
        <v>0</v>
      </c>
      <c r="CJ34" s="27"/>
      <c r="CK34" s="57" t="s">
        <v>103</v>
      </c>
      <c r="CL34" s="510">
        <f>SUM(CM34:CX34)</f>
        <v>0</v>
      </c>
      <c r="CM34" s="511">
        <f>CM11*'3 Saalis'!CK35</f>
        <v>0</v>
      </c>
      <c r="CN34" s="438">
        <f>CN11*'3 Saalis'!CL35</f>
        <v>0</v>
      </c>
      <c r="CO34" s="438">
        <f>CO11*'3 Saalis'!CM35</f>
        <v>0</v>
      </c>
      <c r="CP34" s="438">
        <f>CP11*'3 Saalis'!CN35</f>
        <v>0</v>
      </c>
      <c r="CQ34" s="438">
        <f>CQ11*'3 Saalis'!CO35</f>
        <v>0</v>
      </c>
      <c r="CR34" s="438">
        <f>CR11*'3 Saalis'!CP35</f>
        <v>0</v>
      </c>
      <c r="CS34" s="438">
        <f>CS11*'3 Saalis'!CQ35</f>
        <v>0</v>
      </c>
      <c r="CT34" s="438">
        <f>CT11*'3 Saalis'!CR35</f>
        <v>0</v>
      </c>
      <c r="CU34" s="438">
        <f>CU11*'3 Saalis'!CS35</f>
        <v>0</v>
      </c>
      <c r="CV34" s="438">
        <f>CV11*'3 Saalis'!CT35</f>
        <v>0</v>
      </c>
      <c r="CW34" s="438">
        <f>CW11*'3 Saalis'!CU35</f>
        <v>0</v>
      </c>
      <c r="CX34" s="439">
        <f>CX11*'3 Saalis'!CV35</f>
        <v>0</v>
      </c>
    </row>
    <row r="35" spans="2:103" x14ac:dyDescent="0.2">
      <c r="B35" s="57"/>
      <c r="C35" s="59" t="s">
        <v>66</v>
      </c>
      <c r="D35" s="491">
        <f t="shared" si="54"/>
        <v>0</v>
      </c>
      <c r="E35" s="1473"/>
      <c r="F35" s="1474"/>
      <c r="G35" s="1474"/>
      <c r="H35" s="1474"/>
      <c r="I35" s="1474"/>
      <c r="J35" s="1474"/>
      <c r="K35" s="1474"/>
      <c r="L35" s="1474"/>
      <c r="M35" s="1474"/>
      <c r="N35" s="1474"/>
      <c r="O35" s="1474"/>
      <c r="P35" s="1475"/>
      <c r="S35" s="255"/>
      <c r="T35" s="256" t="s">
        <v>66</v>
      </c>
      <c r="U35" s="491">
        <f t="shared" si="55"/>
        <v>0</v>
      </c>
      <c r="V35" s="514">
        <f t="shared" si="52"/>
        <v>0</v>
      </c>
      <c r="W35" s="514">
        <f t="shared" si="45"/>
        <v>0</v>
      </c>
      <c r="X35" s="514">
        <f t="shared" si="45"/>
        <v>0</v>
      </c>
      <c r="Y35" s="514">
        <f t="shared" si="45"/>
        <v>0</v>
      </c>
      <c r="Z35" s="514">
        <f t="shared" si="45"/>
        <v>0</v>
      </c>
      <c r="AA35" s="514">
        <f t="shared" si="45"/>
        <v>0</v>
      </c>
      <c r="AB35" s="514">
        <f t="shared" si="45"/>
        <v>0</v>
      </c>
      <c r="AC35" s="514">
        <f t="shared" si="45"/>
        <v>0</v>
      </c>
      <c r="AD35" s="514">
        <f t="shared" si="45"/>
        <v>0</v>
      </c>
      <c r="AE35" s="514">
        <f t="shared" si="45"/>
        <v>0</v>
      </c>
      <c r="AF35" s="514">
        <f t="shared" si="45"/>
        <v>0</v>
      </c>
      <c r="AG35" s="525">
        <f t="shared" si="45"/>
        <v>0</v>
      </c>
      <c r="AI35" s="57"/>
      <c r="AJ35" s="59" t="s">
        <v>66</v>
      </c>
      <c r="AK35" s="576">
        <f t="shared" si="49"/>
        <v>0</v>
      </c>
      <c r="AL35" s="1507">
        <v>0.56000000000000005</v>
      </c>
      <c r="AM35" s="1507">
        <v>0.56000000000000005</v>
      </c>
      <c r="AN35" s="1507">
        <v>0.68</v>
      </c>
      <c r="AO35" s="1507">
        <v>0.65</v>
      </c>
      <c r="AP35" s="1507">
        <v>0.63</v>
      </c>
      <c r="AQ35" s="1507">
        <v>0.56000000000000005</v>
      </c>
      <c r="AR35" s="1507">
        <v>0.55000000000000004</v>
      </c>
      <c r="AS35" s="1507">
        <v>0.55000000000000004</v>
      </c>
      <c r="AT35" s="1507">
        <v>0.65</v>
      </c>
      <c r="AU35" s="1507">
        <v>0.6</v>
      </c>
      <c r="AV35" s="1507">
        <v>0.55000000000000004</v>
      </c>
      <c r="AW35" s="1500">
        <v>0.5</v>
      </c>
      <c r="AY35" s="57"/>
      <c r="AZ35" s="59" t="s">
        <v>66</v>
      </c>
      <c r="BA35" s="450">
        <f t="shared" ref="BA35:BA41" si="56">SUM(BB35:BM35)</f>
        <v>0</v>
      </c>
      <c r="BB35" s="514">
        <f t="shared" si="51"/>
        <v>0</v>
      </c>
      <c r="BC35" s="524">
        <f t="shared" si="46"/>
        <v>0</v>
      </c>
      <c r="BD35" s="524">
        <f t="shared" si="46"/>
        <v>0</v>
      </c>
      <c r="BE35" s="524">
        <f t="shared" si="46"/>
        <v>0</v>
      </c>
      <c r="BF35" s="524">
        <f t="shared" si="46"/>
        <v>0</v>
      </c>
      <c r="BG35" s="524">
        <f t="shared" si="46"/>
        <v>0</v>
      </c>
      <c r="BH35" s="524">
        <f t="shared" si="46"/>
        <v>0</v>
      </c>
      <c r="BI35" s="524">
        <f t="shared" si="46"/>
        <v>0</v>
      </c>
      <c r="BJ35" s="524">
        <f t="shared" si="46"/>
        <v>0</v>
      </c>
      <c r="BK35" s="524">
        <f t="shared" si="46"/>
        <v>0</v>
      </c>
      <c r="BL35" s="524">
        <f t="shared" si="46"/>
        <v>0</v>
      </c>
      <c r="BM35" s="525">
        <f t="shared" si="46"/>
        <v>0</v>
      </c>
      <c r="CJ35" s="27"/>
      <c r="CK35" s="57" t="s">
        <v>104</v>
      </c>
      <c r="CL35" s="510">
        <f t="shared" si="53"/>
        <v>0</v>
      </c>
      <c r="CM35" s="511">
        <f>CM12*'3 Saalis'!CK36</f>
        <v>0</v>
      </c>
      <c r="CN35" s="438">
        <f>CN12*'3 Saalis'!CL36</f>
        <v>0</v>
      </c>
      <c r="CO35" s="438">
        <f>CO12*'3 Saalis'!CM36</f>
        <v>0</v>
      </c>
      <c r="CP35" s="438">
        <f>CP12*'3 Saalis'!CN36</f>
        <v>0</v>
      </c>
      <c r="CQ35" s="438">
        <f>CQ12*'3 Saalis'!CO36</f>
        <v>0</v>
      </c>
      <c r="CR35" s="438">
        <f>CR12*'3 Saalis'!CP36</f>
        <v>0</v>
      </c>
      <c r="CS35" s="438">
        <f>CS12*'3 Saalis'!CQ36</f>
        <v>0</v>
      </c>
      <c r="CT35" s="438">
        <f>CT12*'3 Saalis'!CR36</f>
        <v>0</v>
      </c>
      <c r="CU35" s="438">
        <f>CU12*'3 Saalis'!CS36</f>
        <v>0</v>
      </c>
      <c r="CV35" s="438">
        <f>CV12*'3 Saalis'!CT36</f>
        <v>0</v>
      </c>
      <c r="CW35" s="438">
        <f>CW12*'3 Saalis'!CU36</f>
        <v>0</v>
      </c>
      <c r="CX35" s="439">
        <f>CX12*'3 Saalis'!CV36</f>
        <v>0</v>
      </c>
    </row>
    <row r="36" spans="2:103" x14ac:dyDescent="0.2">
      <c r="B36" s="57"/>
      <c r="C36" s="59" t="s">
        <v>67</v>
      </c>
      <c r="D36" s="491">
        <f t="shared" si="54"/>
        <v>0</v>
      </c>
      <c r="E36" s="1473"/>
      <c r="F36" s="1474"/>
      <c r="G36" s="1474"/>
      <c r="H36" s="1474"/>
      <c r="I36" s="1474"/>
      <c r="J36" s="1474"/>
      <c r="K36" s="1474"/>
      <c r="L36" s="1474"/>
      <c r="M36" s="1474"/>
      <c r="N36" s="1474"/>
      <c r="O36" s="1474"/>
      <c r="P36" s="1475"/>
      <c r="S36" s="255"/>
      <c r="T36" s="256" t="s">
        <v>67</v>
      </c>
      <c r="U36" s="491">
        <f t="shared" si="55"/>
        <v>0</v>
      </c>
      <c r="V36" s="514">
        <f t="shared" si="52"/>
        <v>0</v>
      </c>
      <c r="W36" s="514">
        <f t="shared" si="45"/>
        <v>0</v>
      </c>
      <c r="X36" s="514">
        <f t="shared" si="45"/>
        <v>0</v>
      </c>
      <c r="Y36" s="514">
        <f t="shared" si="45"/>
        <v>0</v>
      </c>
      <c r="Z36" s="514">
        <f t="shared" si="45"/>
        <v>0</v>
      </c>
      <c r="AA36" s="514">
        <f t="shared" si="45"/>
        <v>0</v>
      </c>
      <c r="AB36" s="514">
        <f t="shared" si="45"/>
        <v>0</v>
      </c>
      <c r="AC36" s="514">
        <f t="shared" si="45"/>
        <v>0</v>
      </c>
      <c r="AD36" s="514">
        <f t="shared" si="45"/>
        <v>0</v>
      </c>
      <c r="AE36" s="514">
        <f t="shared" si="45"/>
        <v>0</v>
      </c>
      <c r="AF36" s="514">
        <f t="shared" si="45"/>
        <v>0</v>
      </c>
      <c r="AG36" s="525">
        <f t="shared" si="45"/>
        <v>0</v>
      </c>
      <c r="AI36" s="57"/>
      <c r="AJ36" s="59" t="s">
        <v>67</v>
      </c>
      <c r="AK36" s="576">
        <f t="shared" si="49"/>
        <v>0</v>
      </c>
      <c r="AL36" s="1501">
        <v>0.46</v>
      </c>
      <c r="AM36" s="1502">
        <v>0.5</v>
      </c>
      <c r="AN36" s="1502">
        <v>0.52</v>
      </c>
      <c r="AO36" s="1502">
        <v>0.53</v>
      </c>
      <c r="AP36" s="1502">
        <v>0.5</v>
      </c>
      <c r="AQ36" s="1502">
        <v>0.53</v>
      </c>
      <c r="AR36" s="1502">
        <v>0.55000000000000004</v>
      </c>
      <c r="AS36" s="1502">
        <v>0.5</v>
      </c>
      <c r="AT36" s="1502">
        <v>0.51</v>
      </c>
      <c r="AU36" s="1502">
        <v>0.49</v>
      </c>
      <c r="AV36" s="1502">
        <v>0.46</v>
      </c>
      <c r="AW36" s="1503">
        <v>0.51</v>
      </c>
      <c r="AY36" s="57"/>
      <c r="AZ36" s="59" t="s">
        <v>67</v>
      </c>
      <c r="BA36" s="450">
        <f t="shared" si="56"/>
        <v>0</v>
      </c>
      <c r="BB36" s="514">
        <f t="shared" si="51"/>
        <v>0</v>
      </c>
      <c r="BC36" s="524">
        <f t="shared" si="46"/>
        <v>0</v>
      </c>
      <c r="BD36" s="524">
        <f t="shared" si="46"/>
        <v>0</v>
      </c>
      <c r="BE36" s="524">
        <f t="shared" si="46"/>
        <v>0</v>
      </c>
      <c r="BF36" s="524">
        <f t="shared" si="46"/>
        <v>0</v>
      </c>
      <c r="BG36" s="524">
        <f t="shared" si="46"/>
        <v>0</v>
      </c>
      <c r="BH36" s="524">
        <f t="shared" si="46"/>
        <v>0</v>
      </c>
      <c r="BI36" s="524">
        <f t="shared" si="46"/>
        <v>0</v>
      </c>
      <c r="BJ36" s="524">
        <f t="shared" si="46"/>
        <v>0</v>
      </c>
      <c r="BK36" s="524">
        <f t="shared" si="46"/>
        <v>0</v>
      </c>
      <c r="BL36" s="524">
        <f t="shared" si="46"/>
        <v>0</v>
      </c>
      <c r="BM36" s="525">
        <f t="shared" si="46"/>
        <v>0</v>
      </c>
      <c r="CJ36" s="27"/>
      <c r="CK36" s="57" t="s">
        <v>105</v>
      </c>
      <c r="CL36" s="510">
        <f t="shared" si="53"/>
        <v>0</v>
      </c>
      <c r="CM36" s="511">
        <f>CM13*'3 Saalis'!CK37</f>
        <v>0</v>
      </c>
      <c r="CN36" s="438">
        <f>CN13*'3 Saalis'!CL37</f>
        <v>0</v>
      </c>
      <c r="CO36" s="438">
        <f>CO13*'3 Saalis'!CM37</f>
        <v>0</v>
      </c>
      <c r="CP36" s="438">
        <f>CP13*'3 Saalis'!CN37</f>
        <v>0</v>
      </c>
      <c r="CQ36" s="438">
        <f>CQ13*'3 Saalis'!CO37</f>
        <v>0</v>
      </c>
      <c r="CR36" s="438">
        <f>CR13*'3 Saalis'!CP37</f>
        <v>0</v>
      </c>
      <c r="CS36" s="438">
        <f>CS13*'3 Saalis'!CQ37</f>
        <v>0</v>
      </c>
      <c r="CT36" s="438">
        <f>CT13*'3 Saalis'!CR37</f>
        <v>0</v>
      </c>
      <c r="CU36" s="438">
        <f>CU13*'3 Saalis'!CS37</f>
        <v>0</v>
      </c>
      <c r="CV36" s="438">
        <f>CV13*'3 Saalis'!CT37</f>
        <v>0</v>
      </c>
      <c r="CW36" s="438">
        <f>CW13*'3 Saalis'!CU37</f>
        <v>0</v>
      </c>
      <c r="CX36" s="439">
        <f>CX13*'3 Saalis'!CV37</f>
        <v>0</v>
      </c>
    </row>
    <row r="37" spans="2:103" x14ac:dyDescent="0.2">
      <c r="B37" s="57"/>
      <c r="C37" s="59" t="s">
        <v>68</v>
      </c>
      <c r="D37" s="491">
        <f t="shared" si="54"/>
        <v>0</v>
      </c>
      <c r="E37" s="1473"/>
      <c r="F37" s="1474"/>
      <c r="G37" s="1474"/>
      <c r="H37" s="1474"/>
      <c r="I37" s="1474"/>
      <c r="J37" s="1474"/>
      <c r="K37" s="1474"/>
      <c r="L37" s="1474"/>
      <c r="M37" s="1474"/>
      <c r="N37" s="1474"/>
      <c r="O37" s="1474"/>
      <c r="P37" s="1475"/>
      <c r="S37" s="255"/>
      <c r="T37" s="256" t="s">
        <v>68</v>
      </c>
      <c r="U37" s="491">
        <f t="shared" si="55"/>
        <v>0</v>
      </c>
      <c r="V37" s="514">
        <f t="shared" si="52"/>
        <v>0</v>
      </c>
      <c r="W37" s="514">
        <f t="shared" si="45"/>
        <v>0</v>
      </c>
      <c r="X37" s="514">
        <f t="shared" si="45"/>
        <v>0</v>
      </c>
      <c r="Y37" s="514">
        <f t="shared" si="45"/>
        <v>0</v>
      </c>
      <c r="Z37" s="514">
        <f t="shared" si="45"/>
        <v>0</v>
      </c>
      <c r="AA37" s="514">
        <f t="shared" si="45"/>
        <v>0</v>
      </c>
      <c r="AB37" s="514">
        <f t="shared" si="45"/>
        <v>0</v>
      </c>
      <c r="AC37" s="514">
        <f t="shared" si="45"/>
        <v>0</v>
      </c>
      <c r="AD37" s="514">
        <f t="shared" si="45"/>
        <v>0</v>
      </c>
      <c r="AE37" s="514">
        <f t="shared" si="45"/>
        <v>0</v>
      </c>
      <c r="AF37" s="514">
        <f t="shared" si="45"/>
        <v>0</v>
      </c>
      <c r="AG37" s="525">
        <f t="shared" si="45"/>
        <v>0</v>
      </c>
      <c r="AI37" s="57"/>
      <c r="AJ37" s="59" t="s">
        <v>68</v>
      </c>
      <c r="AK37" s="576">
        <f t="shared" si="49"/>
        <v>0</v>
      </c>
      <c r="AL37" s="1501">
        <v>0.24</v>
      </c>
      <c r="AM37" s="1502">
        <v>0.32</v>
      </c>
      <c r="AN37" s="1502">
        <v>0.61</v>
      </c>
      <c r="AO37" s="1502">
        <v>0.3</v>
      </c>
      <c r="AP37" s="1502">
        <v>0.22</v>
      </c>
      <c r="AQ37" s="1502">
        <v>0.22</v>
      </c>
      <c r="AR37" s="1502">
        <v>0.37</v>
      </c>
      <c r="AS37" s="1502">
        <v>0.35</v>
      </c>
      <c r="AT37" s="1502">
        <v>0.32</v>
      </c>
      <c r="AU37" s="1502">
        <v>0.24</v>
      </c>
      <c r="AV37" s="1502">
        <v>0.24</v>
      </c>
      <c r="AW37" s="1503">
        <v>0.26</v>
      </c>
      <c r="AY37" s="57"/>
      <c r="AZ37" s="59" t="s">
        <v>68</v>
      </c>
      <c r="BA37" s="450">
        <f t="shared" si="56"/>
        <v>0</v>
      </c>
      <c r="BB37" s="514">
        <f t="shared" si="51"/>
        <v>0</v>
      </c>
      <c r="BC37" s="524">
        <f t="shared" si="46"/>
        <v>0</v>
      </c>
      <c r="BD37" s="524">
        <f t="shared" si="46"/>
        <v>0</v>
      </c>
      <c r="BE37" s="524">
        <f t="shared" si="46"/>
        <v>0</v>
      </c>
      <c r="BF37" s="524">
        <f t="shared" si="46"/>
        <v>0</v>
      </c>
      <c r="BG37" s="524">
        <f t="shared" si="46"/>
        <v>0</v>
      </c>
      <c r="BH37" s="524">
        <f t="shared" si="46"/>
        <v>0</v>
      </c>
      <c r="BI37" s="524">
        <f t="shared" si="46"/>
        <v>0</v>
      </c>
      <c r="BJ37" s="524">
        <f t="shared" si="46"/>
        <v>0</v>
      </c>
      <c r="BK37" s="524">
        <f t="shared" si="46"/>
        <v>0</v>
      </c>
      <c r="BL37" s="524">
        <f t="shared" si="46"/>
        <v>0</v>
      </c>
      <c r="BM37" s="525">
        <f t="shared" si="46"/>
        <v>0</v>
      </c>
      <c r="CJ37" s="27"/>
      <c r="CK37" s="57" t="s">
        <v>106</v>
      </c>
      <c r="CL37" s="510">
        <f t="shared" si="53"/>
        <v>0</v>
      </c>
      <c r="CM37" s="511">
        <f>CM14*'3 Saalis'!CK38</f>
        <v>0</v>
      </c>
      <c r="CN37" s="438">
        <f>CN14*'3 Saalis'!CL38</f>
        <v>0</v>
      </c>
      <c r="CO37" s="438">
        <f>CO14*'3 Saalis'!CM38</f>
        <v>0</v>
      </c>
      <c r="CP37" s="438">
        <f>CP14*'3 Saalis'!CN38</f>
        <v>0</v>
      </c>
      <c r="CQ37" s="438">
        <f>CQ14*'3 Saalis'!CO38</f>
        <v>0</v>
      </c>
      <c r="CR37" s="438">
        <f>CR14*'3 Saalis'!CP38</f>
        <v>0</v>
      </c>
      <c r="CS37" s="438">
        <f>CS14*'3 Saalis'!CQ38</f>
        <v>0</v>
      </c>
      <c r="CT37" s="438">
        <f>CT14*'3 Saalis'!CR38</f>
        <v>0</v>
      </c>
      <c r="CU37" s="438">
        <f>CU14*'3 Saalis'!CS38</f>
        <v>0</v>
      </c>
      <c r="CV37" s="438">
        <f>CV14*'3 Saalis'!CT38</f>
        <v>0</v>
      </c>
      <c r="CW37" s="438">
        <f>CW14*'3 Saalis'!CU38</f>
        <v>0</v>
      </c>
      <c r="CX37" s="439">
        <f>CX14*'3 Saalis'!CV38</f>
        <v>0</v>
      </c>
    </row>
    <row r="38" spans="2:103" x14ac:dyDescent="0.2">
      <c r="B38" s="57"/>
      <c r="C38" s="59" t="s">
        <v>69</v>
      </c>
      <c r="D38" s="491">
        <f t="shared" si="54"/>
        <v>0</v>
      </c>
      <c r="E38" s="1473"/>
      <c r="F38" s="1474"/>
      <c r="G38" s="1474"/>
      <c r="H38" s="1474"/>
      <c r="I38" s="1474"/>
      <c r="J38" s="1474"/>
      <c r="K38" s="1474"/>
      <c r="L38" s="1474"/>
      <c r="M38" s="1474"/>
      <c r="N38" s="1474"/>
      <c r="O38" s="1474"/>
      <c r="P38" s="1475"/>
      <c r="S38" s="255"/>
      <c r="T38" s="256" t="s">
        <v>69</v>
      </c>
      <c r="U38" s="491">
        <f t="shared" si="55"/>
        <v>0</v>
      </c>
      <c r="V38" s="514">
        <f t="shared" si="52"/>
        <v>0</v>
      </c>
      <c r="W38" s="514">
        <f t="shared" si="45"/>
        <v>0</v>
      </c>
      <c r="X38" s="514">
        <f t="shared" si="45"/>
        <v>0</v>
      </c>
      <c r="Y38" s="514">
        <f t="shared" si="45"/>
        <v>0</v>
      </c>
      <c r="Z38" s="514">
        <f t="shared" si="45"/>
        <v>0</v>
      </c>
      <c r="AA38" s="514">
        <f t="shared" si="45"/>
        <v>0</v>
      </c>
      <c r="AB38" s="514">
        <f t="shared" si="45"/>
        <v>0</v>
      </c>
      <c r="AC38" s="514">
        <f t="shared" si="45"/>
        <v>0</v>
      </c>
      <c r="AD38" s="514">
        <f t="shared" si="45"/>
        <v>0</v>
      </c>
      <c r="AE38" s="514">
        <f t="shared" si="45"/>
        <v>0</v>
      </c>
      <c r="AF38" s="514">
        <f t="shared" si="45"/>
        <v>0</v>
      </c>
      <c r="AG38" s="525">
        <f t="shared" si="45"/>
        <v>0</v>
      </c>
      <c r="AI38" s="57"/>
      <c r="AJ38" s="59" t="s">
        <v>69</v>
      </c>
      <c r="AK38" s="576">
        <f t="shared" si="49"/>
        <v>0</v>
      </c>
      <c r="AL38" s="1501">
        <v>0.17</v>
      </c>
      <c r="AM38" s="1502">
        <v>0.18</v>
      </c>
      <c r="AN38" s="1502">
        <v>0.19</v>
      </c>
      <c r="AO38" s="1502">
        <v>0.19</v>
      </c>
      <c r="AP38" s="1502">
        <v>0.18</v>
      </c>
      <c r="AQ38" s="1502">
        <v>0.18</v>
      </c>
      <c r="AR38" s="1502">
        <v>0.2</v>
      </c>
      <c r="AS38" s="1502">
        <v>0.19</v>
      </c>
      <c r="AT38" s="1502">
        <v>0.19</v>
      </c>
      <c r="AU38" s="1502">
        <v>0.19</v>
      </c>
      <c r="AV38" s="1502">
        <v>0.19</v>
      </c>
      <c r="AW38" s="1503">
        <v>0.2</v>
      </c>
      <c r="AY38" s="57"/>
      <c r="AZ38" s="59" t="s">
        <v>69</v>
      </c>
      <c r="BA38" s="450">
        <f t="shared" si="56"/>
        <v>0</v>
      </c>
      <c r="BB38" s="514">
        <f t="shared" si="51"/>
        <v>0</v>
      </c>
      <c r="BC38" s="524">
        <f t="shared" si="46"/>
        <v>0</v>
      </c>
      <c r="BD38" s="524">
        <f t="shared" si="46"/>
        <v>0</v>
      </c>
      <c r="BE38" s="524">
        <f t="shared" si="46"/>
        <v>0</v>
      </c>
      <c r="BF38" s="524">
        <f t="shared" si="46"/>
        <v>0</v>
      </c>
      <c r="BG38" s="524">
        <f t="shared" si="46"/>
        <v>0</v>
      </c>
      <c r="BH38" s="524">
        <f t="shared" si="46"/>
        <v>0</v>
      </c>
      <c r="BI38" s="524">
        <f t="shared" si="46"/>
        <v>0</v>
      </c>
      <c r="BJ38" s="524">
        <f t="shared" si="46"/>
        <v>0</v>
      </c>
      <c r="BK38" s="524">
        <f t="shared" si="46"/>
        <v>0</v>
      </c>
      <c r="BL38" s="524">
        <f t="shared" si="46"/>
        <v>0</v>
      </c>
      <c r="BM38" s="525">
        <f t="shared" si="46"/>
        <v>0</v>
      </c>
      <c r="CJ38" s="27"/>
      <c r="CK38" s="57" t="s">
        <v>37</v>
      </c>
      <c r="CL38" s="510">
        <f t="shared" si="53"/>
        <v>0</v>
      </c>
      <c r="CM38" s="511">
        <f>CM15*'3 Saalis'!CK39</f>
        <v>0</v>
      </c>
      <c r="CN38" s="438">
        <f>CN15*'3 Saalis'!CL39</f>
        <v>0</v>
      </c>
      <c r="CO38" s="438">
        <f>CO15*'3 Saalis'!CM39</f>
        <v>0</v>
      </c>
      <c r="CP38" s="438">
        <f>CP15*'3 Saalis'!CN39</f>
        <v>0</v>
      </c>
      <c r="CQ38" s="438">
        <f>CQ15*'3 Saalis'!CO39</f>
        <v>0</v>
      </c>
      <c r="CR38" s="438">
        <f>CR15*'3 Saalis'!CP39</f>
        <v>0</v>
      </c>
      <c r="CS38" s="438">
        <f>CS15*'3 Saalis'!CQ39</f>
        <v>0</v>
      </c>
      <c r="CT38" s="438">
        <f>CT15*'3 Saalis'!CR39</f>
        <v>0</v>
      </c>
      <c r="CU38" s="438">
        <f>CU15*'3 Saalis'!CS39</f>
        <v>0</v>
      </c>
      <c r="CV38" s="438">
        <f>CV15*'3 Saalis'!CT39</f>
        <v>0</v>
      </c>
      <c r="CW38" s="438">
        <f>CW15*'3 Saalis'!CU39</f>
        <v>0</v>
      </c>
      <c r="CX38" s="439">
        <f>CX15*'3 Saalis'!CV39</f>
        <v>0</v>
      </c>
    </row>
    <row r="39" spans="2:103" x14ac:dyDescent="0.2">
      <c r="B39" s="57"/>
      <c r="C39" s="59" t="s">
        <v>275</v>
      </c>
      <c r="D39" s="491">
        <f t="shared" si="54"/>
        <v>0</v>
      </c>
      <c r="E39" s="1473"/>
      <c r="F39" s="1474"/>
      <c r="G39" s="1474"/>
      <c r="H39" s="1474"/>
      <c r="I39" s="1474"/>
      <c r="J39" s="1474"/>
      <c r="K39" s="1474"/>
      <c r="L39" s="1474"/>
      <c r="M39" s="1474"/>
      <c r="N39" s="1474"/>
      <c r="O39" s="1474"/>
      <c r="P39" s="1475"/>
      <c r="S39" s="255"/>
      <c r="T39" s="59" t="s">
        <v>275</v>
      </c>
      <c r="U39" s="491">
        <f t="shared" si="55"/>
        <v>0</v>
      </c>
      <c r="V39" s="514">
        <f t="shared" si="52"/>
        <v>0</v>
      </c>
      <c r="W39" s="514">
        <f t="shared" si="45"/>
        <v>0</v>
      </c>
      <c r="X39" s="514">
        <f t="shared" si="45"/>
        <v>0</v>
      </c>
      <c r="Y39" s="514">
        <f t="shared" si="45"/>
        <v>0</v>
      </c>
      <c r="Z39" s="514">
        <f t="shared" si="45"/>
        <v>0</v>
      </c>
      <c r="AA39" s="514">
        <f t="shared" si="45"/>
        <v>0</v>
      </c>
      <c r="AB39" s="514">
        <f t="shared" si="45"/>
        <v>0</v>
      </c>
      <c r="AC39" s="514">
        <f t="shared" si="45"/>
        <v>0</v>
      </c>
      <c r="AD39" s="514">
        <f t="shared" si="45"/>
        <v>0</v>
      </c>
      <c r="AE39" s="514">
        <f t="shared" si="45"/>
        <v>0</v>
      </c>
      <c r="AF39" s="514">
        <f t="shared" si="45"/>
        <v>0</v>
      </c>
      <c r="AG39" s="525">
        <f t="shared" si="45"/>
        <v>0</v>
      </c>
      <c r="AI39" s="57"/>
      <c r="AJ39" s="59" t="s">
        <v>275</v>
      </c>
      <c r="AK39" s="576">
        <f t="shared" si="49"/>
        <v>0</v>
      </c>
      <c r="AL39" s="1501">
        <v>0.14000000000000001</v>
      </c>
      <c r="AM39" s="1502">
        <v>0.14000000000000001</v>
      </c>
      <c r="AN39" s="1502">
        <v>0.14000000000000001</v>
      </c>
      <c r="AO39" s="1502">
        <v>0.18</v>
      </c>
      <c r="AP39" s="1502">
        <v>0.18</v>
      </c>
      <c r="AQ39" s="1502">
        <v>0.18</v>
      </c>
      <c r="AR39" s="1502">
        <v>0.18</v>
      </c>
      <c r="AS39" s="1502">
        <v>0.18</v>
      </c>
      <c r="AT39" s="1502">
        <v>0.19</v>
      </c>
      <c r="AU39" s="1502">
        <v>0.18</v>
      </c>
      <c r="AV39" s="1502">
        <v>0.18</v>
      </c>
      <c r="AW39" s="1503">
        <v>0.19</v>
      </c>
      <c r="AY39" s="57"/>
      <c r="AZ39" s="59" t="s">
        <v>275</v>
      </c>
      <c r="BA39" s="450">
        <f t="shared" si="56"/>
        <v>0</v>
      </c>
      <c r="BB39" s="514">
        <f t="shared" si="51"/>
        <v>0</v>
      </c>
      <c r="BC39" s="524">
        <f t="shared" si="46"/>
        <v>0</v>
      </c>
      <c r="BD39" s="524">
        <f t="shared" si="46"/>
        <v>0</v>
      </c>
      <c r="BE39" s="524">
        <f t="shared" si="46"/>
        <v>0</v>
      </c>
      <c r="BF39" s="524">
        <f t="shared" si="46"/>
        <v>0</v>
      </c>
      <c r="BG39" s="524">
        <f t="shared" si="46"/>
        <v>0</v>
      </c>
      <c r="BH39" s="524">
        <f t="shared" si="46"/>
        <v>0</v>
      </c>
      <c r="BI39" s="524">
        <f t="shared" si="46"/>
        <v>0</v>
      </c>
      <c r="BJ39" s="524">
        <f t="shared" si="46"/>
        <v>0</v>
      </c>
      <c r="BK39" s="524">
        <f t="shared" si="46"/>
        <v>0</v>
      </c>
      <c r="BL39" s="524">
        <f t="shared" si="46"/>
        <v>0</v>
      </c>
      <c r="BM39" s="525">
        <f t="shared" si="46"/>
        <v>0</v>
      </c>
      <c r="CJ39" s="27"/>
      <c r="CK39" s="57" t="s">
        <v>36</v>
      </c>
      <c r="CL39" s="510">
        <f t="shared" si="53"/>
        <v>0</v>
      </c>
      <c r="CM39" s="511">
        <f>CM16*'3 Saalis'!CK40</f>
        <v>0</v>
      </c>
      <c r="CN39" s="438">
        <f>CN16*'3 Saalis'!CL40</f>
        <v>0</v>
      </c>
      <c r="CO39" s="438">
        <f>CO16*'3 Saalis'!CM40</f>
        <v>0</v>
      </c>
      <c r="CP39" s="438">
        <f>CP16*'3 Saalis'!CN40</f>
        <v>0</v>
      </c>
      <c r="CQ39" s="438">
        <f>CQ16*'3 Saalis'!CO40</f>
        <v>0</v>
      </c>
      <c r="CR39" s="438">
        <f>CR16*'3 Saalis'!CP40</f>
        <v>0</v>
      </c>
      <c r="CS39" s="438">
        <f>CS16*'3 Saalis'!CQ40</f>
        <v>0</v>
      </c>
      <c r="CT39" s="438">
        <f>CT16*'3 Saalis'!CR40</f>
        <v>0</v>
      </c>
      <c r="CU39" s="438">
        <f>CU16*'3 Saalis'!CS40</f>
        <v>0</v>
      </c>
      <c r="CV39" s="438">
        <f>CV16*'3 Saalis'!CT40</f>
        <v>0</v>
      </c>
      <c r="CW39" s="438">
        <f>CW16*'3 Saalis'!CU40</f>
        <v>0</v>
      </c>
      <c r="CX39" s="439">
        <f>CX16*'3 Saalis'!CV40</f>
        <v>0</v>
      </c>
    </row>
    <row r="40" spans="2:103" x14ac:dyDescent="0.2">
      <c r="B40" s="57"/>
      <c r="C40" s="59" t="s">
        <v>71</v>
      </c>
      <c r="D40" s="491">
        <f t="shared" si="54"/>
        <v>0</v>
      </c>
      <c r="E40" s="1473"/>
      <c r="F40" s="1474"/>
      <c r="G40" s="1474"/>
      <c r="H40" s="1474"/>
      <c r="I40" s="1474"/>
      <c r="J40" s="1474"/>
      <c r="K40" s="1474"/>
      <c r="L40" s="1474"/>
      <c r="M40" s="1474"/>
      <c r="N40" s="1474"/>
      <c r="O40" s="1474"/>
      <c r="P40" s="1475"/>
      <c r="S40" s="255"/>
      <c r="T40" s="256" t="s">
        <v>71</v>
      </c>
      <c r="U40" s="491">
        <f t="shared" si="55"/>
        <v>0</v>
      </c>
      <c r="V40" s="514">
        <f t="shared" si="52"/>
        <v>0</v>
      </c>
      <c r="W40" s="514">
        <f t="shared" si="45"/>
        <v>0</v>
      </c>
      <c r="X40" s="514">
        <f t="shared" si="45"/>
        <v>0</v>
      </c>
      <c r="Y40" s="514">
        <f t="shared" si="45"/>
        <v>0</v>
      </c>
      <c r="Z40" s="514">
        <f t="shared" si="45"/>
        <v>0</v>
      </c>
      <c r="AA40" s="514">
        <f t="shared" si="45"/>
        <v>0</v>
      </c>
      <c r="AB40" s="514">
        <f t="shared" si="45"/>
        <v>0</v>
      </c>
      <c r="AC40" s="514">
        <f t="shared" si="45"/>
        <v>0</v>
      </c>
      <c r="AD40" s="514">
        <f t="shared" si="45"/>
        <v>0</v>
      </c>
      <c r="AE40" s="514">
        <f t="shared" si="45"/>
        <v>0</v>
      </c>
      <c r="AF40" s="514">
        <f t="shared" si="45"/>
        <v>0</v>
      </c>
      <c r="AG40" s="525">
        <f t="shared" si="45"/>
        <v>0</v>
      </c>
      <c r="AI40" s="57"/>
      <c r="AJ40" s="59" t="s">
        <v>71</v>
      </c>
      <c r="AK40" s="576">
        <f t="shared" si="49"/>
        <v>0</v>
      </c>
      <c r="AL40" s="1501">
        <v>0.13</v>
      </c>
      <c r="AM40" s="1502">
        <v>0.14000000000000001</v>
      </c>
      <c r="AN40" s="1502">
        <v>0.15</v>
      </c>
      <c r="AO40" s="1502">
        <v>0.15</v>
      </c>
      <c r="AP40" s="1502">
        <v>0.17</v>
      </c>
      <c r="AQ40" s="1502">
        <v>0.17</v>
      </c>
      <c r="AR40" s="1502">
        <v>0.17</v>
      </c>
      <c r="AS40" s="1502">
        <v>0.17</v>
      </c>
      <c r="AT40" s="1502">
        <v>0.17</v>
      </c>
      <c r="AU40" s="1502">
        <v>0.17</v>
      </c>
      <c r="AV40" s="1502">
        <v>0.17</v>
      </c>
      <c r="AW40" s="1503">
        <v>0.17</v>
      </c>
      <c r="AY40" s="57"/>
      <c r="AZ40" s="59" t="s">
        <v>71</v>
      </c>
      <c r="BA40" s="450">
        <f t="shared" si="56"/>
        <v>0</v>
      </c>
      <c r="BB40" s="514">
        <f t="shared" si="51"/>
        <v>0</v>
      </c>
      <c r="BC40" s="524">
        <f t="shared" si="46"/>
        <v>0</v>
      </c>
      <c r="BD40" s="524">
        <f t="shared" si="46"/>
        <v>0</v>
      </c>
      <c r="BE40" s="524">
        <f t="shared" si="46"/>
        <v>0</v>
      </c>
      <c r="BF40" s="524">
        <f t="shared" si="46"/>
        <v>0</v>
      </c>
      <c r="BG40" s="524">
        <f t="shared" si="46"/>
        <v>0</v>
      </c>
      <c r="BH40" s="524">
        <f t="shared" si="46"/>
        <v>0</v>
      </c>
      <c r="BI40" s="524">
        <f t="shared" si="46"/>
        <v>0</v>
      </c>
      <c r="BJ40" s="524">
        <f t="shared" si="46"/>
        <v>0</v>
      </c>
      <c r="BK40" s="524">
        <f t="shared" si="46"/>
        <v>0</v>
      </c>
      <c r="BL40" s="524">
        <f t="shared" si="46"/>
        <v>0</v>
      </c>
      <c r="BM40" s="525">
        <f t="shared" si="46"/>
        <v>0</v>
      </c>
      <c r="CJ40" s="27"/>
      <c r="CK40" s="57" t="s">
        <v>94</v>
      </c>
      <c r="CL40" s="510">
        <f t="shared" si="53"/>
        <v>0</v>
      </c>
      <c r="CM40" s="511">
        <f>CM17*'3 Saalis'!CK41</f>
        <v>0</v>
      </c>
      <c r="CN40" s="438">
        <f>CN17*'3 Saalis'!CL41</f>
        <v>0</v>
      </c>
      <c r="CO40" s="438">
        <f>CO17*'3 Saalis'!CM41</f>
        <v>0</v>
      </c>
      <c r="CP40" s="438">
        <f>CP17*'3 Saalis'!CN41</f>
        <v>0</v>
      </c>
      <c r="CQ40" s="438">
        <f>CQ17*'3 Saalis'!CO41</f>
        <v>0</v>
      </c>
      <c r="CR40" s="438">
        <f>CR17*'3 Saalis'!CP41</f>
        <v>0</v>
      </c>
      <c r="CS40" s="438">
        <f>CS17*'3 Saalis'!CQ41</f>
        <v>0</v>
      </c>
      <c r="CT40" s="438">
        <f>CT17*'3 Saalis'!CR41</f>
        <v>0</v>
      </c>
      <c r="CU40" s="438">
        <f>CU17*'3 Saalis'!CS41</f>
        <v>0</v>
      </c>
      <c r="CV40" s="438">
        <f>CV17*'3 Saalis'!CT41</f>
        <v>0</v>
      </c>
      <c r="CW40" s="438">
        <f>CW17*'3 Saalis'!CU41</f>
        <v>0</v>
      </c>
      <c r="CX40" s="439">
        <f>CX17*'3 Saalis'!CV41</f>
        <v>0</v>
      </c>
    </row>
    <row r="41" spans="2:103" ht="13.5" thickBot="1" x14ac:dyDescent="0.25">
      <c r="B41" s="57"/>
      <c r="C41" s="59" t="s">
        <v>70</v>
      </c>
      <c r="D41" s="491">
        <f t="shared" si="54"/>
        <v>0</v>
      </c>
      <c r="E41" s="1473"/>
      <c r="F41" s="1474"/>
      <c r="G41" s="1474"/>
      <c r="H41" s="1474"/>
      <c r="I41" s="1474"/>
      <c r="J41" s="1474"/>
      <c r="K41" s="1474"/>
      <c r="L41" s="1474"/>
      <c r="M41" s="1474"/>
      <c r="N41" s="1474"/>
      <c r="O41" s="1474"/>
      <c r="P41" s="1475"/>
      <c r="S41" s="255"/>
      <c r="T41" s="256" t="s">
        <v>70</v>
      </c>
      <c r="U41" s="491">
        <f t="shared" si="55"/>
        <v>0</v>
      </c>
      <c r="V41" s="514">
        <f t="shared" si="52"/>
        <v>0</v>
      </c>
      <c r="W41" s="514">
        <f t="shared" ref="W41:AG43" si="57">F41</f>
        <v>0</v>
      </c>
      <c r="X41" s="514">
        <f t="shared" si="57"/>
        <v>0</v>
      </c>
      <c r="Y41" s="514">
        <f t="shared" si="57"/>
        <v>0</v>
      </c>
      <c r="Z41" s="514">
        <f t="shared" si="57"/>
        <v>0</v>
      </c>
      <c r="AA41" s="514">
        <f t="shared" si="57"/>
        <v>0</v>
      </c>
      <c r="AB41" s="514">
        <f t="shared" si="57"/>
        <v>0</v>
      </c>
      <c r="AC41" s="514">
        <f t="shared" si="57"/>
        <v>0</v>
      </c>
      <c r="AD41" s="514">
        <f t="shared" si="57"/>
        <v>0</v>
      </c>
      <c r="AE41" s="514">
        <f t="shared" si="57"/>
        <v>0</v>
      </c>
      <c r="AF41" s="514">
        <f t="shared" si="57"/>
        <v>0</v>
      </c>
      <c r="AG41" s="525">
        <f t="shared" si="57"/>
        <v>0</v>
      </c>
      <c r="AI41" s="57"/>
      <c r="AJ41" s="256" t="s">
        <v>70</v>
      </c>
      <c r="AK41" s="576">
        <f t="shared" si="49"/>
        <v>0</v>
      </c>
      <c r="AL41" s="1508">
        <v>0.21</v>
      </c>
      <c r="AM41" s="1509">
        <v>0.24</v>
      </c>
      <c r="AN41" s="1509">
        <v>0.26</v>
      </c>
      <c r="AO41" s="1509">
        <v>0.22</v>
      </c>
      <c r="AP41" s="1509">
        <v>0.21</v>
      </c>
      <c r="AQ41" s="1509">
        <v>0.22</v>
      </c>
      <c r="AR41" s="1509">
        <v>0.38</v>
      </c>
      <c r="AS41" s="1509">
        <v>0.36</v>
      </c>
      <c r="AT41" s="1509">
        <v>0.3</v>
      </c>
      <c r="AU41" s="1509">
        <v>0.25</v>
      </c>
      <c r="AV41" s="1509">
        <v>0.24</v>
      </c>
      <c r="AW41" s="1510">
        <v>0.25</v>
      </c>
      <c r="AY41" s="57"/>
      <c r="AZ41" s="59" t="s">
        <v>70</v>
      </c>
      <c r="BA41" s="450">
        <f t="shared" si="56"/>
        <v>0</v>
      </c>
      <c r="BB41" s="514">
        <f t="shared" si="51"/>
        <v>0</v>
      </c>
      <c r="BC41" s="524">
        <f t="shared" ref="BC41:BM43" si="58">W41*AM41</f>
        <v>0</v>
      </c>
      <c r="BD41" s="524">
        <f t="shared" si="58"/>
        <v>0</v>
      </c>
      <c r="BE41" s="524">
        <f t="shared" si="58"/>
        <v>0</v>
      </c>
      <c r="BF41" s="524">
        <f t="shared" si="58"/>
        <v>0</v>
      </c>
      <c r="BG41" s="524">
        <f t="shared" si="58"/>
        <v>0</v>
      </c>
      <c r="BH41" s="524">
        <f t="shared" si="58"/>
        <v>0</v>
      </c>
      <c r="BI41" s="524">
        <f t="shared" si="58"/>
        <v>0</v>
      </c>
      <c r="BJ41" s="524">
        <f t="shared" si="58"/>
        <v>0</v>
      </c>
      <c r="BK41" s="524">
        <f t="shared" si="58"/>
        <v>0</v>
      </c>
      <c r="BL41" s="524">
        <f t="shared" si="58"/>
        <v>0</v>
      </c>
      <c r="BM41" s="525">
        <f t="shared" si="58"/>
        <v>0</v>
      </c>
      <c r="CJ41" s="27"/>
      <c r="CK41" s="40" t="s">
        <v>93</v>
      </c>
      <c r="CL41" s="593">
        <f t="shared" si="53"/>
        <v>0</v>
      </c>
      <c r="CM41" s="513">
        <f>CM18*'3 Saalis'!CK42</f>
        <v>0</v>
      </c>
      <c r="CN41" s="485">
        <f>CN18*'3 Saalis'!CL42</f>
        <v>0</v>
      </c>
      <c r="CO41" s="485">
        <f>CO18*'3 Saalis'!CM42</f>
        <v>0</v>
      </c>
      <c r="CP41" s="485">
        <f>CP18*'3 Saalis'!CN42</f>
        <v>0</v>
      </c>
      <c r="CQ41" s="485">
        <f>CQ18*'3 Saalis'!CO42</f>
        <v>0</v>
      </c>
      <c r="CR41" s="485">
        <f>CR18*'3 Saalis'!CP42</f>
        <v>0</v>
      </c>
      <c r="CS41" s="485">
        <f>CS18*'3 Saalis'!CQ42</f>
        <v>0</v>
      </c>
      <c r="CT41" s="485">
        <f>CT18*'3 Saalis'!CR42</f>
        <v>0</v>
      </c>
      <c r="CU41" s="485">
        <f>CU18*'3 Saalis'!CS42</f>
        <v>0</v>
      </c>
      <c r="CV41" s="485">
        <f>CV18*'3 Saalis'!CT42</f>
        <v>0</v>
      </c>
      <c r="CW41" s="485">
        <f>CW18*'3 Saalis'!CU42</f>
        <v>0</v>
      </c>
      <c r="CX41" s="486">
        <f>CX18*'3 Saalis'!CV42</f>
        <v>0</v>
      </c>
    </row>
    <row r="42" spans="2:103" ht="13.5" thickBot="1" x14ac:dyDescent="0.25">
      <c r="B42" s="40"/>
      <c r="C42" s="56" t="s">
        <v>91</v>
      </c>
      <c r="D42" s="492">
        <f t="shared" si="54"/>
        <v>0</v>
      </c>
      <c r="E42" s="1476"/>
      <c r="F42" s="1477"/>
      <c r="G42" s="1477"/>
      <c r="H42" s="1477"/>
      <c r="I42" s="1477"/>
      <c r="J42" s="1477"/>
      <c r="K42" s="1477"/>
      <c r="L42" s="1477"/>
      <c r="M42" s="1477"/>
      <c r="N42" s="1477"/>
      <c r="O42" s="1477"/>
      <c r="P42" s="1478"/>
      <c r="S42" s="258"/>
      <c r="T42" s="259" t="s">
        <v>91</v>
      </c>
      <c r="U42" s="492">
        <f>SUM(V42:AG42)</f>
        <v>0</v>
      </c>
      <c r="V42" s="515">
        <f>E42</f>
        <v>0</v>
      </c>
      <c r="W42" s="521">
        <f t="shared" si="57"/>
        <v>0</v>
      </c>
      <c r="X42" s="521">
        <f t="shared" si="57"/>
        <v>0</v>
      </c>
      <c r="Y42" s="521">
        <f t="shared" si="57"/>
        <v>0</v>
      </c>
      <c r="Z42" s="521">
        <f t="shared" si="57"/>
        <v>0</v>
      </c>
      <c r="AA42" s="521">
        <f t="shared" si="57"/>
        <v>0</v>
      </c>
      <c r="AB42" s="521">
        <f t="shared" si="57"/>
        <v>0</v>
      </c>
      <c r="AC42" s="521">
        <f t="shared" si="57"/>
        <v>0</v>
      </c>
      <c r="AD42" s="521">
        <f t="shared" si="57"/>
        <v>0</v>
      </c>
      <c r="AE42" s="521">
        <f t="shared" si="57"/>
        <v>0</v>
      </c>
      <c r="AF42" s="521">
        <f t="shared" si="57"/>
        <v>0</v>
      </c>
      <c r="AG42" s="532">
        <f t="shared" si="57"/>
        <v>0</v>
      </c>
      <c r="AI42" s="40"/>
      <c r="AJ42" s="259" t="s">
        <v>91</v>
      </c>
      <c r="AK42" s="577">
        <f t="shared" si="49"/>
        <v>0</v>
      </c>
      <c r="AL42" s="1504">
        <v>30</v>
      </c>
      <c r="AM42" s="1505">
        <v>30</v>
      </c>
      <c r="AN42" s="1505">
        <v>30</v>
      </c>
      <c r="AO42" s="1505">
        <v>30</v>
      </c>
      <c r="AP42" s="1505">
        <v>30</v>
      </c>
      <c r="AQ42" s="1505">
        <v>30</v>
      </c>
      <c r="AR42" s="1505">
        <v>30</v>
      </c>
      <c r="AS42" s="1505">
        <v>30</v>
      </c>
      <c r="AT42" s="1505">
        <v>30</v>
      </c>
      <c r="AU42" s="1505">
        <v>30</v>
      </c>
      <c r="AV42" s="1505">
        <v>30</v>
      </c>
      <c r="AW42" s="1506">
        <v>30</v>
      </c>
      <c r="AY42" s="40"/>
      <c r="AZ42" s="56" t="s">
        <v>91</v>
      </c>
      <c r="BA42" s="451">
        <f>SUM(BB42:BM42)</f>
        <v>0</v>
      </c>
      <c r="BB42" s="521">
        <f t="shared" si="51"/>
        <v>0</v>
      </c>
      <c r="BC42" s="531">
        <f t="shared" si="58"/>
        <v>0</v>
      </c>
      <c r="BD42" s="531">
        <f t="shared" si="58"/>
        <v>0</v>
      </c>
      <c r="BE42" s="531">
        <f t="shared" si="58"/>
        <v>0</v>
      </c>
      <c r="BF42" s="531">
        <f t="shared" si="58"/>
        <v>0</v>
      </c>
      <c r="BG42" s="531">
        <f t="shared" si="58"/>
        <v>0</v>
      </c>
      <c r="BH42" s="531">
        <f t="shared" si="58"/>
        <v>0</v>
      </c>
      <c r="BI42" s="531">
        <f t="shared" si="58"/>
        <v>0</v>
      </c>
      <c r="BJ42" s="531">
        <f t="shared" si="58"/>
        <v>0</v>
      </c>
      <c r="BK42" s="531">
        <f t="shared" si="58"/>
        <v>0</v>
      </c>
      <c r="BL42" s="531">
        <f t="shared" si="58"/>
        <v>0</v>
      </c>
      <c r="BM42" s="532">
        <f t="shared" si="58"/>
        <v>0</v>
      </c>
      <c r="CJ42" s="27"/>
      <c r="CK42" s="8" t="s">
        <v>107</v>
      </c>
      <c r="CL42" s="423">
        <f t="shared" ref="CL42:CX42" si="59">SUM(CL30:CL41)</f>
        <v>0</v>
      </c>
      <c r="CM42" s="503">
        <f t="shared" si="59"/>
        <v>0</v>
      </c>
      <c r="CN42" s="453">
        <f t="shared" si="59"/>
        <v>0</v>
      </c>
      <c r="CO42" s="453">
        <f t="shared" si="59"/>
        <v>0</v>
      </c>
      <c r="CP42" s="453">
        <f t="shared" si="59"/>
        <v>0</v>
      </c>
      <c r="CQ42" s="453">
        <f t="shared" si="59"/>
        <v>0</v>
      </c>
      <c r="CR42" s="453">
        <f t="shared" si="59"/>
        <v>0</v>
      </c>
      <c r="CS42" s="453">
        <f t="shared" si="59"/>
        <v>0</v>
      </c>
      <c r="CT42" s="453">
        <f t="shared" si="59"/>
        <v>0</v>
      </c>
      <c r="CU42" s="453">
        <f t="shared" si="59"/>
        <v>0</v>
      </c>
      <c r="CV42" s="453">
        <f t="shared" si="59"/>
        <v>0</v>
      </c>
      <c r="CW42" s="453">
        <f t="shared" si="59"/>
        <v>0</v>
      </c>
      <c r="CX42" s="454">
        <f t="shared" si="59"/>
        <v>0</v>
      </c>
    </row>
    <row r="43" spans="2:103" ht="13.5" thickBot="1" x14ac:dyDescent="0.25">
      <c r="B43" s="40" t="s">
        <v>80</v>
      </c>
      <c r="C43" s="1441"/>
      <c r="D43" s="493">
        <f>SUM(E43:P43)</f>
        <v>0</v>
      </c>
      <c r="E43" s="1479"/>
      <c r="F43" s="1480"/>
      <c r="G43" s="1480"/>
      <c r="H43" s="1480"/>
      <c r="I43" s="1480"/>
      <c r="J43" s="1480"/>
      <c r="K43" s="1480"/>
      <c r="L43" s="1480"/>
      <c r="M43" s="1480"/>
      <c r="N43" s="1480"/>
      <c r="O43" s="1480"/>
      <c r="P43" s="1481"/>
      <c r="S43" s="258" t="s">
        <v>80</v>
      </c>
      <c r="T43" s="1133">
        <f>C43</f>
        <v>0</v>
      </c>
      <c r="U43" s="493">
        <f>SUM(V43:AG43)</f>
        <v>0</v>
      </c>
      <c r="V43" s="516">
        <f>E43</f>
        <v>0</v>
      </c>
      <c r="W43" s="516">
        <f>F43</f>
        <v>0</v>
      </c>
      <c r="X43" s="516">
        <f t="shared" si="57"/>
        <v>0</v>
      </c>
      <c r="Y43" s="516">
        <f t="shared" si="57"/>
        <v>0</v>
      </c>
      <c r="Z43" s="516">
        <f t="shared" si="57"/>
        <v>0</v>
      </c>
      <c r="AA43" s="516">
        <f t="shared" si="57"/>
        <v>0</v>
      </c>
      <c r="AB43" s="516">
        <f t="shared" si="57"/>
        <v>0</v>
      </c>
      <c r="AC43" s="516">
        <f t="shared" si="57"/>
        <v>0</v>
      </c>
      <c r="AD43" s="516">
        <f t="shared" si="57"/>
        <v>0</v>
      </c>
      <c r="AE43" s="516">
        <f t="shared" si="57"/>
        <v>0</v>
      </c>
      <c r="AF43" s="516">
        <f t="shared" si="57"/>
        <v>0</v>
      </c>
      <c r="AG43" s="535">
        <f t="shared" si="57"/>
        <v>0</v>
      </c>
      <c r="AI43" s="40" t="s">
        <v>80</v>
      </c>
      <c r="AJ43" s="1133">
        <f>T43</f>
        <v>0</v>
      </c>
      <c r="AK43" s="578">
        <f t="shared" si="49"/>
        <v>0</v>
      </c>
      <c r="AL43" s="1508"/>
      <c r="AM43" s="1509"/>
      <c r="AN43" s="1509"/>
      <c r="AO43" s="1509"/>
      <c r="AP43" s="1509"/>
      <c r="AQ43" s="1509"/>
      <c r="AR43" s="1509"/>
      <c r="AS43" s="1509"/>
      <c r="AT43" s="1509"/>
      <c r="AU43" s="1509"/>
      <c r="AV43" s="1509"/>
      <c r="AW43" s="1510"/>
      <c r="AY43" s="40" t="s">
        <v>80</v>
      </c>
      <c r="AZ43" s="1133">
        <f>AJ43</f>
        <v>0</v>
      </c>
      <c r="BA43" s="416">
        <f>SUM(BB43:BM43)</f>
        <v>0</v>
      </c>
      <c r="BB43" s="526">
        <f t="shared" si="51"/>
        <v>0</v>
      </c>
      <c r="BC43" s="517">
        <f t="shared" si="58"/>
        <v>0</v>
      </c>
      <c r="BD43" s="517">
        <f t="shared" si="58"/>
        <v>0</v>
      </c>
      <c r="BE43" s="517">
        <f t="shared" si="58"/>
        <v>0</v>
      </c>
      <c r="BF43" s="517">
        <f t="shared" si="58"/>
        <v>0</v>
      </c>
      <c r="BG43" s="517">
        <f t="shared" si="58"/>
        <v>0</v>
      </c>
      <c r="BH43" s="517">
        <f t="shared" si="58"/>
        <v>0</v>
      </c>
      <c r="BI43" s="517">
        <f t="shared" si="58"/>
        <v>0</v>
      </c>
      <c r="BJ43" s="517">
        <f t="shared" si="58"/>
        <v>0</v>
      </c>
      <c r="BK43" s="517">
        <f t="shared" si="58"/>
        <v>0</v>
      </c>
      <c r="BL43" s="517">
        <f t="shared" si="58"/>
        <v>0</v>
      </c>
      <c r="BM43" s="539">
        <f t="shared" si="58"/>
        <v>0</v>
      </c>
      <c r="CY43" s="27" t="s">
        <v>1</v>
      </c>
    </row>
    <row r="44" spans="2:103" ht="13.5" thickBot="1" x14ac:dyDescent="0.25">
      <c r="B44" s="40" t="s">
        <v>72</v>
      </c>
      <c r="C44" s="14"/>
      <c r="D44" s="494">
        <f>D24-SUM(D25:D43)+D33+D42</f>
        <v>0</v>
      </c>
      <c r="E44" s="495">
        <f>E24-SUM(E25:E43)+E33+E42</f>
        <v>0</v>
      </c>
      <c r="F44" s="496">
        <f t="shared" ref="F44:O44" si="60">F24-SUM(F25:F43)+F33+F42</f>
        <v>0</v>
      </c>
      <c r="G44" s="496">
        <f t="shared" si="60"/>
        <v>0</v>
      </c>
      <c r="H44" s="496">
        <f t="shared" si="60"/>
        <v>0</v>
      </c>
      <c r="I44" s="496">
        <f t="shared" si="60"/>
        <v>0</v>
      </c>
      <c r="J44" s="496">
        <f t="shared" si="60"/>
        <v>0</v>
      </c>
      <c r="K44" s="496">
        <f t="shared" si="60"/>
        <v>0</v>
      </c>
      <c r="L44" s="496">
        <f t="shared" si="60"/>
        <v>0</v>
      </c>
      <c r="M44" s="496">
        <f t="shared" si="60"/>
        <v>0</v>
      </c>
      <c r="N44" s="496">
        <f t="shared" si="60"/>
        <v>0</v>
      </c>
      <c r="O44" s="496">
        <f t="shared" si="60"/>
        <v>0</v>
      </c>
      <c r="P44" s="497">
        <f>P24-SUM(P25:P43)+P33+P42</f>
        <v>0</v>
      </c>
      <c r="S44" s="258" t="s">
        <v>113</v>
      </c>
      <c r="T44" s="117"/>
      <c r="U44" s="416">
        <f>SUM(U25:U43)</f>
        <v>0</v>
      </c>
      <c r="V44" s="517">
        <f>SUM(V25:V43)</f>
        <v>0</v>
      </c>
      <c r="W44" s="517">
        <f t="shared" ref="W44:AG44" si="61">SUM(W25:W43)</f>
        <v>0</v>
      </c>
      <c r="X44" s="517">
        <f t="shared" si="61"/>
        <v>0</v>
      </c>
      <c r="Y44" s="517">
        <f t="shared" si="61"/>
        <v>0</v>
      </c>
      <c r="Z44" s="517">
        <f t="shared" si="61"/>
        <v>0</v>
      </c>
      <c r="AA44" s="517">
        <f t="shared" si="61"/>
        <v>0</v>
      </c>
      <c r="AB44" s="517">
        <f t="shared" si="61"/>
        <v>0</v>
      </c>
      <c r="AC44" s="517">
        <f t="shared" si="61"/>
        <v>0</v>
      </c>
      <c r="AD44" s="517">
        <f t="shared" si="61"/>
        <v>0</v>
      </c>
      <c r="AE44" s="517">
        <f t="shared" si="61"/>
        <v>0</v>
      </c>
      <c r="AF44" s="517">
        <f t="shared" si="61"/>
        <v>0</v>
      </c>
      <c r="AG44" s="539">
        <f t="shared" si="61"/>
        <v>0</v>
      </c>
      <c r="AI44" s="40" t="s">
        <v>99</v>
      </c>
      <c r="AJ44" s="58"/>
      <c r="AK44" s="579">
        <f>IF(BA24=0,0,BA44/BA24)</f>
        <v>0</v>
      </c>
      <c r="AL44" s="580">
        <f>IF(BB44=0,0,BB44/BB24)</f>
        <v>0</v>
      </c>
      <c r="AM44" s="581">
        <f t="shared" ref="AM44:AW44" si="62">IF(BC44=0,0,BC44/BC24)</f>
        <v>0</v>
      </c>
      <c r="AN44" s="581">
        <f t="shared" si="62"/>
        <v>0</v>
      </c>
      <c r="AO44" s="581">
        <f t="shared" si="62"/>
        <v>0</v>
      </c>
      <c r="AP44" s="581">
        <f t="shared" si="62"/>
        <v>0</v>
      </c>
      <c r="AQ44" s="581">
        <f>IF(BG44=0,0,BG44/BG24)</f>
        <v>0</v>
      </c>
      <c r="AR44" s="581">
        <f t="shared" si="62"/>
        <v>0</v>
      </c>
      <c r="AS44" s="581">
        <f>IF(BI44=0,0,BI44/BI24)</f>
        <v>0</v>
      </c>
      <c r="AT44" s="581">
        <f t="shared" si="62"/>
        <v>0</v>
      </c>
      <c r="AU44" s="581">
        <f t="shared" si="62"/>
        <v>0</v>
      </c>
      <c r="AV44" s="581">
        <f t="shared" si="62"/>
        <v>0</v>
      </c>
      <c r="AW44" s="582">
        <f t="shared" si="62"/>
        <v>0</v>
      </c>
      <c r="AY44" s="40" t="s">
        <v>98</v>
      </c>
      <c r="AZ44" s="14"/>
      <c r="BA44" s="417">
        <f t="shared" ref="BA44:BF44" si="63">SUM(BA25:BA43)</f>
        <v>0</v>
      </c>
      <c r="BB44" s="548">
        <f t="shared" si="63"/>
        <v>0</v>
      </c>
      <c r="BC44" s="553">
        <f t="shared" si="63"/>
        <v>0</v>
      </c>
      <c r="BD44" s="553">
        <f t="shared" si="63"/>
        <v>0</v>
      </c>
      <c r="BE44" s="553">
        <f t="shared" si="63"/>
        <v>0</v>
      </c>
      <c r="BF44" s="553">
        <f t="shared" si="63"/>
        <v>0</v>
      </c>
      <c r="BG44" s="553">
        <f t="shared" ref="BG44:BM44" si="64">SUM(BG25:BG43)</f>
        <v>0</v>
      </c>
      <c r="BH44" s="553">
        <f t="shared" si="64"/>
        <v>0</v>
      </c>
      <c r="BI44" s="553">
        <f t="shared" si="64"/>
        <v>0</v>
      </c>
      <c r="BJ44" s="553">
        <f t="shared" si="64"/>
        <v>0</v>
      </c>
      <c r="BK44" s="553">
        <f t="shared" si="64"/>
        <v>0</v>
      </c>
      <c r="BL44" s="553">
        <f t="shared" si="64"/>
        <v>0</v>
      </c>
      <c r="BM44" s="554">
        <f t="shared" si="64"/>
        <v>0</v>
      </c>
    </row>
    <row r="45" spans="2:103" ht="24" thickBot="1" x14ac:dyDescent="0.4">
      <c r="B45" s="34"/>
      <c r="E45" s="794" t="str">
        <f>IF(E44&lt;0,"Ylimyynti!!!"," ")</f>
        <v xml:space="preserve"> </v>
      </c>
      <c r="F45" s="794" t="str">
        <f t="shared" ref="F45:P45" si="65">IF(F44&lt;0,"Ylimyynti!!!"," ")</f>
        <v xml:space="preserve"> </v>
      </c>
      <c r="G45" s="794" t="str">
        <f t="shared" si="65"/>
        <v xml:space="preserve"> </v>
      </c>
      <c r="H45" s="794" t="str">
        <f t="shared" si="65"/>
        <v xml:space="preserve"> </v>
      </c>
      <c r="I45" s="794" t="str">
        <f t="shared" si="65"/>
        <v xml:space="preserve"> </v>
      </c>
      <c r="J45" s="794" t="str">
        <f t="shared" si="65"/>
        <v xml:space="preserve"> </v>
      </c>
      <c r="K45" s="794" t="str">
        <f t="shared" si="65"/>
        <v xml:space="preserve"> </v>
      </c>
      <c r="L45" s="794" t="str">
        <f t="shared" si="65"/>
        <v xml:space="preserve"> </v>
      </c>
      <c r="M45" s="794" t="str">
        <f t="shared" si="65"/>
        <v xml:space="preserve"> </v>
      </c>
      <c r="N45" s="794" t="str">
        <f t="shared" si="65"/>
        <v xml:space="preserve"> </v>
      </c>
      <c r="O45" s="794" t="str">
        <f t="shared" si="65"/>
        <v xml:space="preserve"> </v>
      </c>
      <c r="P45" s="794" t="str">
        <f t="shared" si="65"/>
        <v xml:space="preserve"> </v>
      </c>
      <c r="S45" s="87"/>
      <c r="AI45" s="34"/>
      <c r="AK45" s="75"/>
      <c r="AL45" s="75"/>
      <c r="AM45" s="75"/>
      <c r="AN45" s="75"/>
      <c r="AO45" s="75"/>
      <c r="AP45" s="75"/>
      <c r="AQ45" s="75"/>
      <c r="AR45" s="75"/>
      <c r="AS45" s="75"/>
      <c r="AT45" s="75"/>
      <c r="AU45" s="75"/>
      <c r="AV45" s="75"/>
      <c r="AW45" s="75"/>
      <c r="AY45" s="34"/>
      <c r="CK45" s="735" t="str">
        <f>'3 Saalis'!T89</f>
        <v>Verkko2</v>
      </c>
      <c r="CL45" s="736"/>
      <c r="CM45" s="377"/>
      <c r="CN45" s="736" t="str">
        <f>'3 Saalis'!V89</f>
        <v>Yhteensä</v>
      </c>
      <c r="CO45" s="377"/>
      <c r="CP45" s="377"/>
      <c r="CQ45" s="377"/>
      <c r="CR45" s="734"/>
    </row>
    <row r="46" spans="2:103" ht="24" thickBot="1" x14ac:dyDescent="0.4">
      <c r="B46" s="5" t="s">
        <v>112</v>
      </c>
      <c r="C46" s="36"/>
      <c r="D46" s="249" t="s">
        <v>40</v>
      </c>
      <c r="E46" s="245"/>
      <c r="F46" s="246"/>
      <c r="G46" s="246"/>
      <c r="H46" s="246"/>
      <c r="I46" s="246"/>
      <c r="J46" s="219" t="s">
        <v>42</v>
      </c>
      <c r="K46" s="246"/>
      <c r="L46" s="246"/>
      <c r="M46" s="246"/>
      <c r="N46" s="246"/>
      <c r="O46" s="246"/>
      <c r="P46" s="247"/>
      <c r="Q46" s="250"/>
      <c r="S46" s="251" t="s">
        <v>112</v>
      </c>
      <c r="T46" s="252"/>
      <c r="U46" s="249" t="s">
        <v>40</v>
      </c>
      <c r="V46" s="245"/>
      <c r="W46" s="246"/>
      <c r="X46" s="246"/>
      <c r="Y46" s="246"/>
      <c r="Z46" s="246"/>
      <c r="AA46" s="219" t="s">
        <v>42</v>
      </c>
      <c r="AB46" s="246"/>
      <c r="AC46" s="246"/>
      <c r="AD46" s="246"/>
      <c r="AE46" s="246"/>
      <c r="AF46" s="246"/>
      <c r="AG46" s="247"/>
      <c r="AI46" s="5" t="s">
        <v>112</v>
      </c>
      <c r="AJ46" s="36"/>
      <c r="AK46" s="51" t="s">
        <v>40</v>
      </c>
      <c r="AL46" s="47"/>
      <c r="AM46" s="48"/>
      <c r="AN46" s="48"/>
      <c r="AO46" s="48"/>
      <c r="AP46" s="48"/>
      <c r="AQ46" s="41" t="s">
        <v>42</v>
      </c>
      <c r="AR46" s="48"/>
      <c r="AS46" s="48"/>
      <c r="AT46" s="48"/>
      <c r="AU46" s="48"/>
      <c r="AV46" s="48"/>
      <c r="AW46" s="49"/>
      <c r="AY46" s="5" t="s">
        <v>112</v>
      </c>
      <c r="AZ46" s="36"/>
      <c r="BA46" s="249" t="s">
        <v>40</v>
      </c>
      <c r="BB46" s="245"/>
      <c r="BC46" s="246"/>
      <c r="BD46" s="246"/>
      <c r="BE46" s="246"/>
      <c r="BF46" s="246"/>
      <c r="BG46" s="219" t="s">
        <v>42</v>
      </c>
      <c r="BH46" s="246"/>
      <c r="BI46" s="246"/>
      <c r="BJ46" s="246"/>
      <c r="BK46" s="246"/>
      <c r="BL46" s="246"/>
      <c r="BM46" s="247"/>
      <c r="CK46" s="39"/>
      <c r="CL46" s="39"/>
      <c r="CM46" s="43"/>
    </row>
    <row r="47" spans="2:103" ht="18" customHeight="1" thickBot="1" x14ac:dyDescent="0.4">
      <c r="B47" s="57"/>
      <c r="C47" s="59"/>
      <c r="D47" s="253" t="s">
        <v>41</v>
      </c>
      <c r="E47" s="254">
        <v>1</v>
      </c>
      <c r="F47" s="70">
        <v>2</v>
      </c>
      <c r="G47" s="70">
        <v>3</v>
      </c>
      <c r="H47" s="70">
        <v>4</v>
      </c>
      <c r="I47" s="70">
        <v>5</v>
      </c>
      <c r="J47" s="70">
        <v>6</v>
      </c>
      <c r="K47" s="70">
        <v>7</v>
      </c>
      <c r="L47" s="70">
        <v>8</v>
      </c>
      <c r="M47" s="70">
        <v>9</v>
      </c>
      <c r="N47" s="70">
        <v>10</v>
      </c>
      <c r="O47" s="70">
        <v>11</v>
      </c>
      <c r="P47" s="71">
        <v>12</v>
      </c>
      <c r="Q47" s="87"/>
      <c r="S47" s="255"/>
      <c r="T47" s="256"/>
      <c r="U47" s="253" t="s">
        <v>41</v>
      </c>
      <c r="V47" s="254">
        <v>1</v>
      </c>
      <c r="W47" s="70">
        <v>2</v>
      </c>
      <c r="X47" s="70">
        <v>3</v>
      </c>
      <c r="Y47" s="70">
        <v>4</v>
      </c>
      <c r="Z47" s="70">
        <v>5</v>
      </c>
      <c r="AA47" s="70">
        <v>6</v>
      </c>
      <c r="AB47" s="70">
        <v>7</v>
      </c>
      <c r="AC47" s="70">
        <v>8</v>
      </c>
      <c r="AD47" s="70">
        <v>9</v>
      </c>
      <c r="AE47" s="70">
        <v>10</v>
      </c>
      <c r="AF47" s="70">
        <v>11</v>
      </c>
      <c r="AG47" s="71">
        <v>12</v>
      </c>
      <c r="AI47" s="57"/>
      <c r="AJ47" s="59"/>
      <c r="AK47" s="69" t="s">
        <v>41</v>
      </c>
      <c r="AL47" s="72">
        <v>1</v>
      </c>
      <c r="AM47" s="70">
        <v>2</v>
      </c>
      <c r="AN47" s="70">
        <v>3</v>
      </c>
      <c r="AO47" s="70">
        <v>4</v>
      </c>
      <c r="AP47" s="70">
        <v>5</v>
      </c>
      <c r="AQ47" s="70">
        <v>6</v>
      </c>
      <c r="AR47" s="70">
        <v>7</v>
      </c>
      <c r="AS47" s="70">
        <v>8</v>
      </c>
      <c r="AT47" s="70">
        <v>9</v>
      </c>
      <c r="AU47" s="70">
        <v>10</v>
      </c>
      <c r="AV47" s="70">
        <v>11</v>
      </c>
      <c r="AW47" s="71">
        <v>12</v>
      </c>
      <c r="AY47" s="57"/>
      <c r="AZ47" s="59"/>
      <c r="BA47" s="253" t="s">
        <v>41</v>
      </c>
      <c r="BB47" s="254">
        <v>1</v>
      </c>
      <c r="BC47" s="70">
        <v>2</v>
      </c>
      <c r="BD47" s="70">
        <v>3</v>
      </c>
      <c r="BE47" s="70">
        <v>4</v>
      </c>
      <c r="BF47" s="70">
        <v>5</v>
      </c>
      <c r="BG47" s="70">
        <v>6</v>
      </c>
      <c r="BH47" s="70">
        <v>7</v>
      </c>
      <c r="BI47" s="70">
        <v>8</v>
      </c>
      <c r="BJ47" s="70">
        <v>9</v>
      </c>
      <c r="BK47" s="70">
        <v>10</v>
      </c>
      <c r="BL47" s="70">
        <v>11</v>
      </c>
      <c r="BM47" s="71">
        <v>12</v>
      </c>
      <c r="CK47" s="30" t="s">
        <v>39</v>
      </c>
      <c r="CL47" s="455">
        <f>'3 Saalis'!CJ47</f>
        <v>0</v>
      </c>
      <c r="CM47" s="8" t="s">
        <v>15</v>
      </c>
      <c r="CN47" s="41"/>
      <c r="CO47" s="42"/>
      <c r="CP47" s="8" t="s">
        <v>5</v>
      </c>
      <c r="CQ47" s="10"/>
      <c r="CR47" s="18"/>
      <c r="CS47" s="18"/>
      <c r="CT47" s="18"/>
      <c r="CU47" s="10"/>
    </row>
    <row r="48" spans="2:103" ht="13.5" thickBot="1" x14ac:dyDescent="0.25">
      <c r="B48" s="8" t="s">
        <v>73</v>
      </c>
      <c r="C48" s="58"/>
      <c r="D48" s="421">
        <f>'3 Saalis'!D10</f>
        <v>0</v>
      </c>
      <c r="E48" s="499">
        <f>'3 Saalis'!E10</f>
        <v>0</v>
      </c>
      <c r="F48" s="500">
        <f>'3 Saalis'!F10</f>
        <v>0</v>
      </c>
      <c r="G48" s="500">
        <f>'3 Saalis'!G10</f>
        <v>0</v>
      </c>
      <c r="H48" s="500">
        <f>'3 Saalis'!H10</f>
        <v>0</v>
      </c>
      <c r="I48" s="500">
        <f>'3 Saalis'!I10</f>
        <v>0</v>
      </c>
      <c r="J48" s="500">
        <f>'3 Saalis'!J10</f>
        <v>0</v>
      </c>
      <c r="K48" s="500">
        <f>'3 Saalis'!K10</f>
        <v>0</v>
      </c>
      <c r="L48" s="500">
        <f>'3 Saalis'!L10</f>
        <v>0</v>
      </c>
      <c r="M48" s="500">
        <f>'3 Saalis'!M10</f>
        <v>0</v>
      </c>
      <c r="N48" s="500">
        <f>'3 Saalis'!N10</f>
        <v>0</v>
      </c>
      <c r="O48" s="500">
        <f>'3 Saalis'!O10</f>
        <v>0</v>
      </c>
      <c r="P48" s="529">
        <f>'3 Saalis'!P10</f>
        <v>0</v>
      </c>
      <c r="S48" s="260" t="s">
        <v>73</v>
      </c>
      <c r="T48" s="261"/>
      <c r="U48" s="423">
        <f>D48</f>
        <v>0</v>
      </c>
      <c r="V48" s="503">
        <f>E48</f>
        <v>0</v>
      </c>
      <c r="W48" s="453">
        <f>F48</f>
        <v>0</v>
      </c>
      <c r="X48" s="453">
        <f t="shared" ref="X48:X53" si="66">G48</f>
        <v>0</v>
      </c>
      <c r="Y48" s="453">
        <f t="shared" ref="Y48:Y53" si="67">H48</f>
        <v>0</v>
      </c>
      <c r="Z48" s="453">
        <f t="shared" ref="Z48:Z53" si="68">I48</f>
        <v>0</v>
      </c>
      <c r="AA48" s="453">
        <f t="shared" ref="AA48:AA53" si="69">J48</f>
        <v>0</v>
      </c>
      <c r="AB48" s="453">
        <f t="shared" ref="AB48:AB53" si="70">K48</f>
        <v>0</v>
      </c>
      <c r="AC48" s="453">
        <f t="shared" ref="AC48:AC53" si="71">L48</f>
        <v>0</v>
      </c>
      <c r="AD48" s="453">
        <f t="shared" ref="AD48:AD53" si="72">M48</f>
        <v>0</v>
      </c>
      <c r="AE48" s="453">
        <f t="shared" ref="AE48:AE53" si="73">N48</f>
        <v>0</v>
      </c>
      <c r="AF48" s="453">
        <f t="shared" ref="AF48:AF53" si="74">O48</f>
        <v>0</v>
      </c>
      <c r="AG48" s="454">
        <f t="shared" ref="AG48:AG53" si="75">P48</f>
        <v>0</v>
      </c>
      <c r="AI48" s="8" t="s">
        <v>73</v>
      </c>
      <c r="AJ48" s="58"/>
      <c r="AK48" s="424">
        <f>D48</f>
        <v>0</v>
      </c>
      <c r="AL48" s="583">
        <f>E48</f>
        <v>0</v>
      </c>
      <c r="AM48" s="572">
        <f>F48</f>
        <v>0</v>
      </c>
      <c r="AN48" s="572">
        <f t="shared" ref="AN48:AW48" si="76">G48</f>
        <v>0</v>
      </c>
      <c r="AO48" s="572">
        <f t="shared" si="76"/>
        <v>0</v>
      </c>
      <c r="AP48" s="572">
        <f t="shared" si="76"/>
        <v>0</v>
      </c>
      <c r="AQ48" s="572">
        <f t="shared" si="76"/>
        <v>0</v>
      </c>
      <c r="AR48" s="572">
        <f t="shared" si="76"/>
        <v>0</v>
      </c>
      <c r="AS48" s="572">
        <f t="shared" si="76"/>
        <v>0</v>
      </c>
      <c r="AT48" s="572">
        <f t="shared" si="76"/>
        <v>0</v>
      </c>
      <c r="AU48" s="572">
        <f t="shared" si="76"/>
        <v>0</v>
      </c>
      <c r="AV48" s="572">
        <f t="shared" si="76"/>
        <v>0</v>
      </c>
      <c r="AW48" s="1135">
        <f t="shared" si="76"/>
        <v>0</v>
      </c>
      <c r="AY48" s="5" t="s">
        <v>73</v>
      </c>
      <c r="AZ48" s="36"/>
      <c r="BA48" s="427">
        <f t="shared" ref="BA48:BM48" si="77">AK48</f>
        <v>0</v>
      </c>
      <c r="BB48" s="487">
        <f t="shared" si="77"/>
        <v>0</v>
      </c>
      <c r="BC48" s="488">
        <f t="shared" si="77"/>
        <v>0</v>
      </c>
      <c r="BD48" s="488">
        <f t="shared" si="77"/>
        <v>0</v>
      </c>
      <c r="BE48" s="488">
        <f t="shared" si="77"/>
        <v>0</v>
      </c>
      <c r="BF48" s="488">
        <f t="shared" si="77"/>
        <v>0</v>
      </c>
      <c r="BG48" s="488">
        <f t="shared" si="77"/>
        <v>0</v>
      </c>
      <c r="BH48" s="488">
        <f t="shared" si="77"/>
        <v>0</v>
      </c>
      <c r="BI48" s="488">
        <f t="shared" si="77"/>
        <v>0</v>
      </c>
      <c r="BJ48" s="488">
        <f t="shared" si="77"/>
        <v>0</v>
      </c>
      <c r="BK48" s="488">
        <f t="shared" si="77"/>
        <v>0</v>
      </c>
      <c r="BL48" s="488">
        <f t="shared" si="77"/>
        <v>0</v>
      </c>
      <c r="BM48" s="489">
        <f t="shared" si="77"/>
        <v>0</v>
      </c>
      <c r="CK48" s="30" t="s">
        <v>2</v>
      </c>
      <c r="CL48" s="1134" t="str">
        <f>'3 Saalis'!CJ48</f>
        <v>0</v>
      </c>
      <c r="CM48" s="8" t="s">
        <v>4</v>
      </c>
      <c r="CN48" s="10"/>
      <c r="CO48" s="455">
        <f>'3 Saalis'!CM48</f>
        <v>0</v>
      </c>
      <c r="CP48" s="8" t="s">
        <v>6</v>
      </c>
      <c r="CQ48" s="18"/>
      <c r="CR48" s="41"/>
      <c r="CS48" s="18"/>
      <c r="CT48" s="10"/>
      <c r="CU48" s="456">
        <f>'3 Saalis'!CS48</f>
        <v>0</v>
      </c>
    </row>
    <row r="49" spans="2:102" ht="13.5" thickBot="1" x14ac:dyDescent="0.25">
      <c r="B49" s="5" t="s">
        <v>64</v>
      </c>
      <c r="C49" s="77" t="s">
        <v>76</v>
      </c>
      <c r="D49" s="449">
        <f>SUM(E49:P49)</f>
        <v>0</v>
      </c>
      <c r="E49" s="1467"/>
      <c r="F49" s="1468"/>
      <c r="G49" s="1468"/>
      <c r="H49" s="1468"/>
      <c r="I49" s="1468"/>
      <c r="J49" s="1468"/>
      <c r="K49" s="1468"/>
      <c r="L49" s="1468"/>
      <c r="M49" s="1468"/>
      <c r="N49" s="1468"/>
      <c r="O49" s="1468"/>
      <c r="P49" s="1469"/>
      <c r="S49" s="251" t="s">
        <v>64</v>
      </c>
      <c r="T49" s="262" t="s">
        <v>76</v>
      </c>
      <c r="U49" s="505">
        <f>SUM(V49:AG49)</f>
        <v>0</v>
      </c>
      <c r="V49" s="516">
        <f t="shared" ref="V49:W53" si="78">E49</f>
        <v>0</v>
      </c>
      <c r="W49" s="516">
        <f t="shared" si="78"/>
        <v>0</v>
      </c>
      <c r="X49" s="516">
        <f t="shared" si="66"/>
        <v>0</v>
      </c>
      <c r="Y49" s="516">
        <f t="shared" si="67"/>
        <v>0</v>
      </c>
      <c r="Z49" s="516">
        <f t="shared" si="68"/>
        <v>0</v>
      </c>
      <c r="AA49" s="516">
        <f t="shared" si="69"/>
        <v>0</v>
      </c>
      <c r="AB49" s="516">
        <f t="shared" si="70"/>
        <v>0</v>
      </c>
      <c r="AC49" s="516">
        <f t="shared" si="71"/>
        <v>0</v>
      </c>
      <c r="AD49" s="516">
        <f t="shared" si="72"/>
        <v>0</v>
      </c>
      <c r="AE49" s="516">
        <f t="shared" si="73"/>
        <v>0</v>
      </c>
      <c r="AF49" s="516">
        <f t="shared" si="74"/>
        <v>0</v>
      </c>
      <c r="AG49" s="535">
        <f t="shared" si="75"/>
        <v>0</v>
      </c>
      <c r="AI49" s="5" t="s">
        <v>64</v>
      </c>
      <c r="AJ49" s="77" t="s">
        <v>76</v>
      </c>
      <c r="AK49" s="584">
        <f>IF(D49=0,0,BA49/D49)</f>
        <v>0</v>
      </c>
      <c r="AL49" s="1496">
        <v>2.9</v>
      </c>
      <c r="AM49" s="1511">
        <v>2.91</v>
      </c>
      <c r="AN49" s="1511">
        <v>2.89</v>
      </c>
      <c r="AO49" s="1511">
        <v>2.88</v>
      </c>
      <c r="AP49" s="1511">
        <v>2.4900000000000002</v>
      </c>
      <c r="AQ49" s="1511">
        <v>2.46</v>
      </c>
      <c r="AR49" s="1511">
        <v>2.3199999999999998</v>
      </c>
      <c r="AS49" s="1511">
        <v>2.46</v>
      </c>
      <c r="AT49" s="1511">
        <v>1.85</v>
      </c>
      <c r="AU49" s="1511">
        <v>1.54</v>
      </c>
      <c r="AV49" s="1511">
        <v>2.27</v>
      </c>
      <c r="AW49" s="1498">
        <v>2.4900000000000002</v>
      </c>
      <c r="AY49" s="5" t="s">
        <v>64</v>
      </c>
      <c r="AZ49" s="73" t="s">
        <v>76</v>
      </c>
      <c r="BA49" s="449">
        <f>SUM(BB49:BM49)</f>
        <v>0</v>
      </c>
      <c r="BB49" s="499">
        <f>V49*AL49</f>
        <v>0</v>
      </c>
      <c r="BC49" s="500">
        <f t="shared" ref="BC49:BM53" si="79">W49*AM49</f>
        <v>0</v>
      </c>
      <c r="BD49" s="500">
        <f t="shared" si="79"/>
        <v>0</v>
      </c>
      <c r="BE49" s="500">
        <f t="shared" si="79"/>
        <v>0</v>
      </c>
      <c r="BF49" s="500">
        <f t="shared" si="79"/>
        <v>0</v>
      </c>
      <c r="BG49" s="500">
        <f t="shared" si="79"/>
        <v>0</v>
      </c>
      <c r="BH49" s="500">
        <f t="shared" si="79"/>
        <v>0</v>
      </c>
      <c r="BI49" s="500">
        <f t="shared" si="79"/>
        <v>0</v>
      </c>
      <c r="BJ49" s="500">
        <f t="shared" si="79"/>
        <v>0</v>
      </c>
      <c r="BK49" s="500">
        <f t="shared" si="79"/>
        <v>0</v>
      </c>
      <c r="BL49" s="500">
        <f t="shared" si="79"/>
        <v>0</v>
      </c>
      <c r="BM49" s="529">
        <f t="shared" si="79"/>
        <v>0</v>
      </c>
      <c r="CK49" s="30" t="s">
        <v>3</v>
      </c>
      <c r="CL49" s="1134" t="str">
        <f>'3 Saalis'!CJ49</f>
        <v>0</v>
      </c>
      <c r="CM49" s="8" t="s">
        <v>38</v>
      </c>
      <c r="CN49" s="10"/>
      <c r="CO49" s="455">
        <f>'3 Saalis'!CM49</f>
        <v>0</v>
      </c>
      <c r="CP49" s="40" t="s">
        <v>26</v>
      </c>
      <c r="CQ49" s="14"/>
      <c r="CR49" s="14"/>
      <c r="CS49" s="14"/>
      <c r="CT49" s="17"/>
      <c r="CU49" s="455">
        <f>'3 Saalis'!CS49</f>
        <v>0</v>
      </c>
    </row>
    <row r="50" spans="2:102" ht="13.5" thickBot="1" x14ac:dyDescent="0.25">
      <c r="B50" s="40"/>
      <c r="C50" s="56" t="s">
        <v>91</v>
      </c>
      <c r="D50" s="451">
        <f>SUM(E50:P50)</f>
        <v>0</v>
      </c>
      <c r="E50" s="1476"/>
      <c r="F50" s="1477"/>
      <c r="G50" s="1477"/>
      <c r="H50" s="1477"/>
      <c r="I50" s="1477"/>
      <c r="J50" s="1477"/>
      <c r="K50" s="1477"/>
      <c r="L50" s="1477"/>
      <c r="M50" s="1477"/>
      <c r="N50" s="1477"/>
      <c r="O50" s="1477"/>
      <c r="P50" s="1478"/>
      <c r="S50" s="258"/>
      <c r="T50" s="263" t="s">
        <v>91</v>
      </c>
      <c r="U50" s="451">
        <f>SUM(V50:AG50)</f>
        <v>0</v>
      </c>
      <c r="V50" s="518">
        <f t="shared" si="78"/>
        <v>0</v>
      </c>
      <c r="W50" s="518">
        <f t="shared" si="78"/>
        <v>0</v>
      </c>
      <c r="X50" s="518">
        <f t="shared" si="66"/>
        <v>0</v>
      </c>
      <c r="Y50" s="518">
        <f t="shared" si="67"/>
        <v>0</v>
      </c>
      <c r="Z50" s="518">
        <f t="shared" si="68"/>
        <v>0</v>
      </c>
      <c r="AA50" s="518">
        <f t="shared" si="69"/>
        <v>0</v>
      </c>
      <c r="AB50" s="518">
        <f t="shared" si="70"/>
        <v>0</v>
      </c>
      <c r="AC50" s="518">
        <f t="shared" si="71"/>
        <v>0</v>
      </c>
      <c r="AD50" s="518">
        <f t="shared" si="72"/>
        <v>0</v>
      </c>
      <c r="AE50" s="518">
        <f t="shared" si="73"/>
        <v>0</v>
      </c>
      <c r="AF50" s="518">
        <f t="shared" si="74"/>
        <v>0</v>
      </c>
      <c r="AG50" s="543">
        <f t="shared" si="75"/>
        <v>0</v>
      </c>
      <c r="AI50" s="40"/>
      <c r="AJ50" s="76" t="s">
        <v>91</v>
      </c>
      <c r="AK50" s="585">
        <f>IF(D50=0,0,BA50/D50)</f>
        <v>0</v>
      </c>
      <c r="AL50" s="1508">
        <v>37.090000000000003</v>
      </c>
      <c r="AM50" s="1509">
        <v>37.090000000000003</v>
      </c>
      <c r="AN50" s="1509">
        <v>37.090000000000003</v>
      </c>
      <c r="AO50" s="1509">
        <v>37.090000000000003</v>
      </c>
      <c r="AP50" s="1509">
        <v>37.090000000000003</v>
      </c>
      <c r="AQ50" s="1509">
        <v>37.090000000000003</v>
      </c>
      <c r="AR50" s="1509">
        <v>37.090000000000003</v>
      </c>
      <c r="AS50" s="1509">
        <v>37.090000000000003</v>
      </c>
      <c r="AT50" s="1509">
        <v>37.090000000000003</v>
      </c>
      <c r="AU50" s="1509">
        <v>37.090000000000003</v>
      </c>
      <c r="AV50" s="1509">
        <v>37.090000000000003</v>
      </c>
      <c r="AW50" s="1510">
        <v>37.090000000000003</v>
      </c>
      <c r="AY50" s="40"/>
      <c r="AZ50" s="56" t="s">
        <v>91</v>
      </c>
      <c r="BA50" s="451">
        <f>SUM(BB50:BM50)</f>
        <v>0</v>
      </c>
      <c r="BB50" s="521">
        <f>V50*AL50</f>
        <v>0</v>
      </c>
      <c r="BC50" s="531">
        <f t="shared" si="79"/>
        <v>0</v>
      </c>
      <c r="BD50" s="531">
        <f t="shared" si="79"/>
        <v>0</v>
      </c>
      <c r="BE50" s="531">
        <f t="shared" si="79"/>
        <v>0</v>
      </c>
      <c r="BF50" s="531">
        <f t="shared" si="79"/>
        <v>0</v>
      </c>
      <c r="BG50" s="531">
        <f t="shared" si="79"/>
        <v>0</v>
      </c>
      <c r="BH50" s="531">
        <f t="shared" si="79"/>
        <v>0</v>
      </c>
      <c r="BI50" s="531">
        <f t="shared" si="79"/>
        <v>0</v>
      </c>
      <c r="BJ50" s="531">
        <f t="shared" si="79"/>
        <v>0</v>
      </c>
      <c r="BK50" s="531">
        <f t="shared" si="79"/>
        <v>0</v>
      </c>
      <c r="BL50" s="531">
        <f t="shared" si="79"/>
        <v>0</v>
      </c>
      <c r="BM50" s="532">
        <f t="shared" si="79"/>
        <v>0</v>
      </c>
      <c r="CK50" s="34"/>
      <c r="CL50" s="34"/>
      <c r="CM50" s="45"/>
      <c r="CN50" s="34"/>
      <c r="CP50" s="46"/>
      <c r="CQ50" s="34"/>
      <c r="CV50" s="34"/>
    </row>
    <row r="51" spans="2:102" ht="13.5" thickBot="1" x14ac:dyDescent="0.25">
      <c r="B51" s="5" t="s">
        <v>79</v>
      </c>
      <c r="C51" s="73" t="s">
        <v>76</v>
      </c>
      <c r="D51" s="452">
        <f>SUM(E51:P51)</f>
        <v>0</v>
      </c>
      <c r="E51" s="1482"/>
      <c r="F51" s="1468"/>
      <c r="G51" s="1468"/>
      <c r="H51" s="1468"/>
      <c r="I51" s="1468"/>
      <c r="J51" s="1468"/>
      <c r="K51" s="1468"/>
      <c r="L51" s="1468"/>
      <c r="M51" s="1468"/>
      <c r="N51" s="1468"/>
      <c r="O51" s="1468"/>
      <c r="P51" s="1469"/>
      <c r="S51" s="251" t="s">
        <v>79</v>
      </c>
      <c r="T51" s="264" t="s">
        <v>76</v>
      </c>
      <c r="U51" s="490">
        <f>SUM(V51:AG51)</f>
        <v>0</v>
      </c>
      <c r="V51" s="519">
        <f t="shared" si="78"/>
        <v>0</v>
      </c>
      <c r="W51" s="499">
        <f t="shared" si="78"/>
        <v>0</v>
      </c>
      <c r="X51" s="499">
        <f t="shared" si="66"/>
        <v>0</v>
      </c>
      <c r="Y51" s="499">
        <f t="shared" si="67"/>
        <v>0</v>
      </c>
      <c r="Z51" s="499">
        <f t="shared" si="68"/>
        <v>0</v>
      </c>
      <c r="AA51" s="499">
        <f t="shared" si="69"/>
        <v>0</v>
      </c>
      <c r="AB51" s="499">
        <f t="shared" si="70"/>
        <v>0</v>
      </c>
      <c r="AC51" s="499">
        <f t="shared" si="71"/>
        <v>0</v>
      </c>
      <c r="AD51" s="499">
        <f t="shared" si="72"/>
        <v>0</v>
      </c>
      <c r="AE51" s="499">
        <f t="shared" si="73"/>
        <v>0</v>
      </c>
      <c r="AF51" s="499">
        <f t="shared" si="74"/>
        <v>0</v>
      </c>
      <c r="AG51" s="529">
        <f t="shared" si="75"/>
        <v>0</v>
      </c>
      <c r="AI51" s="5" t="s">
        <v>79</v>
      </c>
      <c r="AJ51" s="73" t="s">
        <v>76</v>
      </c>
      <c r="AK51" s="584">
        <f>IF(D51=0,0,BA51/D51)</f>
        <v>0</v>
      </c>
      <c r="AL51" s="1496">
        <v>2.9</v>
      </c>
      <c r="AM51" s="1511">
        <v>2.91</v>
      </c>
      <c r="AN51" s="1511">
        <v>2.89</v>
      </c>
      <c r="AO51" s="1511">
        <v>2.88</v>
      </c>
      <c r="AP51" s="1511">
        <v>2.4900000000000002</v>
      </c>
      <c r="AQ51" s="1511">
        <v>2.46</v>
      </c>
      <c r="AR51" s="1511">
        <v>2.3199999999999998</v>
      </c>
      <c r="AS51" s="1511">
        <v>2.46</v>
      </c>
      <c r="AT51" s="1511">
        <v>1.85</v>
      </c>
      <c r="AU51" s="1511">
        <v>1.54</v>
      </c>
      <c r="AV51" s="1511">
        <v>2.27</v>
      </c>
      <c r="AW51" s="1498">
        <v>2.4900000000000002</v>
      </c>
      <c r="AY51" s="57" t="s">
        <v>79</v>
      </c>
      <c r="AZ51" s="74" t="s">
        <v>76</v>
      </c>
      <c r="BA51" s="505">
        <f>SUM(BB51:BM51)</f>
        <v>0</v>
      </c>
      <c r="BB51" s="516">
        <f>V51*AL51</f>
        <v>0</v>
      </c>
      <c r="BC51" s="534">
        <f t="shared" si="79"/>
        <v>0</v>
      </c>
      <c r="BD51" s="534">
        <f t="shared" si="79"/>
        <v>0</v>
      </c>
      <c r="BE51" s="534">
        <f t="shared" si="79"/>
        <v>0</v>
      </c>
      <c r="BF51" s="534">
        <f t="shared" si="79"/>
        <v>0</v>
      </c>
      <c r="BG51" s="534">
        <f t="shared" si="79"/>
        <v>0</v>
      </c>
      <c r="BH51" s="534">
        <f t="shared" si="79"/>
        <v>0</v>
      </c>
      <c r="BI51" s="534">
        <f t="shared" si="79"/>
        <v>0</v>
      </c>
      <c r="BJ51" s="534">
        <f t="shared" si="79"/>
        <v>0</v>
      </c>
      <c r="BK51" s="534">
        <f t="shared" si="79"/>
        <v>0</v>
      </c>
      <c r="BL51" s="534">
        <f t="shared" si="79"/>
        <v>0</v>
      </c>
      <c r="BM51" s="535">
        <f t="shared" si="79"/>
        <v>0</v>
      </c>
      <c r="CK51" s="44" t="s">
        <v>380</v>
      </c>
      <c r="CL51" s="52" t="s">
        <v>40</v>
      </c>
      <c r="CM51" s="47"/>
      <c r="CN51" s="48"/>
      <c r="CO51" s="48"/>
      <c r="CP51" s="48"/>
      <c r="CQ51" s="48"/>
      <c r="CR51" s="41" t="s">
        <v>42</v>
      </c>
      <c r="CS51" s="48"/>
      <c r="CT51" s="48"/>
      <c r="CU51" s="48"/>
      <c r="CV51" s="48"/>
      <c r="CW51" s="48"/>
      <c r="CX51" s="49"/>
    </row>
    <row r="52" spans="2:102" ht="13.5" thickBot="1" x14ac:dyDescent="0.25">
      <c r="B52" s="40"/>
      <c r="C52" s="56" t="s">
        <v>91</v>
      </c>
      <c r="D52" s="498">
        <f>SUM(E52:P52)</f>
        <v>0</v>
      </c>
      <c r="E52" s="1483"/>
      <c r="F52" s="1477"/>
      <c r="G52" s="1477"/>
      <c r="H52" s="1477"/>
      <c r="I52" s="1477"/>
      <c r="J52" s="1477"/>
      <c r="K52" s="1477"/>
      <c r="L52" s="1477"/>
      <c r="M52" s="1477"/>
      <c r="N52" s="1477"/>
      <c r="O52" s="1477"/>
      <c r="P52" s="1478"/>
      <c r="S52" s="258"/>
      <c r="T52" s="259" t="s">
        <v>91</v>
      </c>
      <c r="U52" s="491">
        <f>SUM(V52:AG52)</f>
        <v>0</v>
      </c>
      <c r="V52" s="515">
        <f t="shared" si="78"/>
        <v>0</v>
      </c>
      <c r="W52" s="521">
        <f t="shared" si="78"/>
        <v>0</v>
      </c>
      <c r="X52" s="521">
        <f t="shared" si="66"/>
        <v>0</v>
      </c>
      <c r="Y52" s="521">
        <f t="shared" si="67"/>
        <v>0</v>
      </c>
      <c r="Z52" s="521">
        <f t="shared" si="68"/>
        <v>0</v>
      </c>
      <c r="AA52" s="521">
        <f t="shared" si="69"/>
        <v>0</v>
      </c>
      <c r="AB52" s="521">
        <f t="shared" si="70"/>
        <v>0</v>
      </c>
      <c r="AC52" s="521">
        <f t="shared" si="71"/>
        <v>0</v>
      </c>
      <c r="AD52" s="521">
        <f t="shared" si="72"/>
        <v>0</v>
      </c>
      <c r="AE52" s="521">
        <f t="shared" si="73"/>
        <v>0</v>
      </c>
      <c r="AF52" s="521">
        <f t="shared" si="74"/>
        <v>0</v>
      </c>
      <c r="AG52" s="532">
        <f t="shared" si="75"/>
        <v>0</v>
      </c>
      <c r="AI52" s="40"/>
      <c r="AJ52" s="56" t="s">
        <v>91</v>
      </c>
      <c r="AK52" s="585">
        <f>IF(D52=0,0,BA52/D52)</f>
        <v>0</v>
      </c>
      <c r="AL52" s="1508">
        <v>37.090000000000003</v>
      </c>
      <c r="AM52" s="1509">
        <v>37.090000000000003</v>
      </c>
      <c r="AN52" s="1509">
        <v>37.090000000000003</v>
      </c>
      <c r="AO52" s="1509">
        <v>37.090000000000003</v>
      </c>
      <c r="AP52" s="1509">
        <v>37.090000000000003</v>
      </c>
      <c r="AQ52" s="1509">
        <v>37.090000000000003</v>
      </c>
      <c r="AR52" s="1509">
        <v>37.090000000000003</v>
      </c>
      <c r="AS52" s="1509">
        <v>37.090000000000003</v>
      </c>
      <c r="AT52" s="1509">
        <v>37.090000000000003</v>
      </c>
      <c r="AU52" s="1509">
        <v>37.090000000000003</v>
      </c>
      <c r="AV52" s="1509">
        <v>37.090000000000003</v>
      </c>
      <c r="AW52" s="1510">
        <v>37.090000000000003</v>
      </c>
      <c r="AY52" s="57"/>
      <c r="AZ52" s="59" t="s">
        <v>91</v>
      </c>
      <c r="BA52" s="594">
        <f>SUM(BB52:BM52)</f>
        <v>0</v>
      </c>
      <c r="BB52" s="518">
        <f>V52*AL52</f>
        <v>0</v>
      </c>
      <c r="BC52" s="542">
        <f t="shared" si="79"/>
        <v>0</v>
      </c>
      <c r="BD52" s="542">
        <f t="shared" si="79"/>
        <v>0</v>
      </c>
      <c r="BE52" s="542">
        <f t="shared" si="79"/>
        <v>0</v>
      </c>
      <c r="BF52" s="542">
        <f t="shared" si="79"/>
        <v>0</v>
      </c>
      <c r="BG52" s="542">
        <f t="shared" si="79"/>
        <v>0</v>
      </c>
      <c r="BH52" s="542">
        <f t="shared" si="79"/>
        <v>0</v>
      </c>
      <c r="BI52" s="542">
        <f t="shared" si="79"/>
        <v>0</v>
      </c>
      <c r="BJ52" s="542">
        <f t="shared" si="79"/>
        <v>0</v>
      </c>
      <c r="BK52" s="542">
        <f t="shared" si="79"/>
        <v>0</v>
      </c>
      <c r="BL52" s="542">
        <f t="shared" si="79"/>
        <v>0</v>
      </c>
      <c r="BM52" s="543">
        <f t="shared" si="79"/>
        <v>0</v>
      </c>
      <c r="CK52" s="54"/>
      <c r="CL52" s="55" t="s">
        <v>41</v>
      </c>
      <c r="CM52" s="72">
        <v>1</v>
      </c>
      <c r="CN52" s="70">
        <v>2</v>
      </c>
      <c r="CO52" s="70">
        <v>3</v>
      </c>
      <c r="CP52" s="70">
        <v>4</v>
      </c>
      <c r="CQ52" s="70">
        <v>5</v>
      </c>
      <c r="CR52" s="70">
        <v>6</v>
      </c>
      <c r="CS52" s="70">
        <v>7</v>
      </c>
      <c r="CT52" s="70">
        <v>8</v>
      </c>
      <c r="CU52" s="70">
        <v>9</v>
      </c>
      <c r="CV52" s="70">
        <v>10</v>
      </c>
      <c r="CW52" s="70">
        <v>11</v>
      </c>
      <c r="CX52" s="71">
        <v>12</v>
      </c>
    </row>
    <row r="53" spans="2:102" ht="13.5" thickBot="1" x14ac:dyDescent="0.25">
      <c r="B53" s="40" t="s">
        <v>80</v>
      </c>
      <c r="C53" s="1485"/>
      <c r="D53" s="452">
        <f>SUM(E53:P53)</f>
        <v>0</v>
      </c>
      <c r="E53" s="1484"/>
      <c r="F53" s="1480"/>
      <c r="G53" s="1480"/>
      <c r="H53" s="1480"/>
      <c r="I53" s="1480"/>
      <c r="J53" s="1480"/>
      <c r="K53" s="1480"/>
      <c r="L53" s="1480"/>
      <c r="M53" s="1480"/>
      <c r="N53" s="1480"/>
      <c r="O53" s="1480"/>
      <c r="P53" s="1481"/>
      <c r="S53" s="258" t="s">
        <v>80</v>
      </c>
      <c r="T53" s="1133">
        <f>C53</f>
        <v>0</v>
      </c>
      <c r="U53" s="493">
        <f>SUM(V53:AG53)</f>
        <v>0</v>
      </c>
      <c r="V53" s="516">
        <f t="shared" si="78"/>
        <v>0</v>
      </c>
      <c r="W53" s="516">
        <f t="shared" si="78"/>
        <v>0</v>
      </c>
      <c r="X53" s="516">
        <f t="shared" si="66"/>
        <v>0</v>
      </c>
      <c r="Y53" s="516">
        <f t="shared" si="67"/>
        <v>0</v>
      </c>
      <c r="Z53" s="516">
        <f t="shared" si="68"/>
        <v>0</v>
      </c>
      <c r="AA53" s="516">
        <f t="shared" si="69"/>
        <v>0</v>
      </c>
      <c r="AB53" s="516">
        <f t="shared" si="70"/>
        <v>0</v>
      </c>
      <c r="AC53" s="516">
        <f t="shared" si="71"/>
        <v>0</v>
      </c>
      <c r="AD53" s="516">
        <f t="shared" si="72"/>
        <v>0</v>
      </c>
      <c r="AE53" s="516">
        <f t="shared" si="73"/>
        <v>0</v>
      </c>
      <c r="AF53" s="516">
        <f t="shared" si="74"/>
        <v>0</v>
      </c>
      <c r="AG53" s="535">
        <f t="shared" si="75"/>
        <v>0</v>
      </c>
      <c r="AI53" s="40" t="s">
        <v>80</v>
      </c>
      <c r="AJ53" s="1133">
        <f>T53</f>
        <v>0</v>
      </c>
      <c r="AK53" s="576">
        <f>IF(D53=0,0,BA53/D53)</f>
        <v>0</v>
      </c>
      <c r="AL53" s="1512"/>
      <c r="AM53" s="1513"/>
      <c r="AN53" s="1513"/>
      <c r="AO53" s="1513"/>
      <c r="AP53" s="1513"/>
      <c r="AQ53" s="1513"/>
      <c r="AR53" s="1513"/>
      <c r="AS53" s="1513"/>
      <c r="AT53" s="1513"/>
      <c r="AU53" s="1513"/>
      <c r="AV53" s="1514"/>
      <c r="AW53" s="1515"/>
      <c r="AY53" s="8" t="s">
        <v>80</v>
      </c>
      <c r="AZ53" s="1136">
        <f>AJ53</f>
        <v>0</v>
      </c>
      <c r="BA53" s="416">
        <f>SUM(BB53:BM53)</f>
        <v>0</v>
      </c>
      <c r="BB53" s="526">
        <f>V53*AL53</f>
        <v>0</v>
      </c>
      <c r="BC53" s="517">
        <f t="shared" si="79"/>
        <v>0</v>
      </c>
      <c r="BD53" s="517">
        <f t="shared" si="79"/>
        <v>0</v>
      </c>
      <c r="BE53" s="517">
        <f t="shared" si="79"/>
        <v>0</v>
      </c>
      <c r="BF53" s="517">
        <f t="shared" si="79"/>
        <v>0</v>
      </c>
      <c r="BG53" s="517">
        <f t="shared" si="79"/>
        <v>0</v>
      </c>
      <c r="BH53" s="517">
        <f t="shared" si="79"/>
        <v>0</v>
      </c>
      <c r="BI53" s="517">
        <f t="shared" si="79"/>
        <v>0</v>
      </c>
      <c r="BJ53" s="517">
        <f t="shared" si="79"/>
        <v>0</v>
      </c>
      <c r="BK53" s="517">
        <f t="shared" si="79"/>
        <v>0</v>
      </c>
      <c r="BL53" s="517">
        <f t="shared" si="79"/>
        <v>0</v>
      </c>
      <c r="BM53" s="539">
        <f t="shared" si="79"/>
        <v>0</v>
      </c>
      <c r="CK53" s="5" t="s">
        <v>100</v>
      </c>
      <c r="CL53" s="425">
        <f>SUM(CM53:CX53)</f>
        <v>0</v>
      </c>
      <c r="CM53" s="509">
        <f>CM7*'3 Saalis'!CK53</f>
        <v>0</v>
      </c>
      <c r="CN53" s="434">
        <f>CN7*'3 Saalis'!CL53</f>
        <v>0</v>
      </c>
      <c r="CO53" s="434">
        <f>CO7*'3 Saalis'!CM53</f>
        <v>0</v>
      </c>
      <c r="CP53" s="434">
        <f>CP7*'3 Saalis'!CN53</f>
        <v>0</v>
      </c>
      <c r="CQ53" s="434">
        <f>CQ7*'3 Saalis'!CO53</f>
        <v>0</v>
      </c>
      <c r="CR53" s="434">
        <f>CR7*'3 Saalis'!CP53</f>
        <v>0</v>
      </c>
      <c r="CS53" s="434">
        <f>CS7*'3 Saalis'!CQ53</f>
        <v>0</v>
      </c>
      <c r="CT53" s="434">
        <f>CT7*'3 Saalis'!CR53</f>
        <v>0</v>
      </c>
      <c r="CU53" s="434">
        <f>CU7*'3 Saalis'!CS53</f>
        <v>0</v>
      </c>
      <c r="CV53" s="434">
        <f>CV7*'3 Saalis'!CT53</f>
        <v>0</v>
      </c>
      <c r="CW53" s="434">
        <f>CW7*'3 Saalis'!CU53</f>
        <v>0</v>
      </c>
      <c r="CX53" s="435">
        <f>CX7*'3 Saalis'!CV53</f>
        <v>0</v>
      </c>
    </row>
    <row r="54" spans="2:102" ht="13.5" thickBot="1" x14ac:dyDescent="0.25">
      <c r="B54" s="8" t="s">
        <v>72</v>
      </c>
      <c r="C54" s="10"/>
      <c r="D54" s="494">
        <f>D48-SUM(D49:D53)+D50+D52</f>
        <v>0</v>
      </c>
      <c r="E54" s="495">
        <f>E48-SUM(E49:E53)+E50+E52</f>
        <v>0</v>
      </c>
      <c r="F54" s="496">
        <f>F48-SUM(F49:F53)+F50+F52</f>
        <v>0</v>
      </c>
      <c r="G54" s="496">
        <f t="shared" ref="G54:O54" si="80">G48-SUM(G49:G53)+G50+G52</f>
        <v>0</v>
      </c>
      <c r="H54" s="496">
        <f t="shared" si="80"/>
        <v>0</v>
      </c>
      <c r="I54" s="496">
        <f t="shared" si="80"/>
        <v>0</v>
      </c>
      <c r="J54" s="496">
        <f t="shared" si="80"/>
        <v>0</v>
      </c>
      <c r="K54" s="496">
        <f>K48-SUM(K49:K53)+K50+K52</f>
        <v>0</v>
      </c>
      <c r="L54" s="496">
        <f t="shared" si="80"/>
        <v>0</v>
      </c>
      <c r="M54" s="496">
        <f t="shared" si="80"/>
        <v>0</v>
      </c>
      <c r="N54" s="496">
        <f t="shared" si="80"/>
        <v>0</v>
      </c>
      <c r="O54" s="496">
        <f t="shared" si="80"/>
        <v>0</v>
      </c>
      <c r="P54" s="497">
        <f>P48-SUM(P49:P53)+P50+P52</f>
        <v>0</v>
      </c>
      <c r="S54" s="258" t="s">
        <v>113</v>
      </c>
      <c r="T54" s="265"/>
      <c r="U54" s="494">
        <f>SUM(U49:U53)</f>
        <v>0</v>
      </c>
      <c r="V54" s="522">
        <f>SUM(V49:V53)</f>
        <v>0</v>
      </c>
      <c r="W54" s="517">
        <f>SUM(W49:W53)</f>
        <v>0</v>
      </c>
      <c r="X54" s="517">
        <f t="shared" ref="X54:AG54" si="81">SUM(X49:X53)</f>
        <v>0</v>
      </c>
      <c r="Y54" s="517">
        <f t="shared" si="81"/>
        <v>0</v>
      </c>
      <c r="Z54" s="517">
        <f t="shared" si="81"/>
        <v>0</v>
      </c>
      <c r="AA54" s="517">
        <f t="shared" si="81"/>
        <v>0</v>
      </c>
      <c r="AB54" s="517">
        <f t="shared" si="81"/>
        <v>0</v>
      </c>
      <c r="AC54" s="517">
        <f t="shared" si="81"/>
        <v>0</v>
      </c>
      <c r="AD54" s="517">
        <f t="shared" si="81"/>
        <v>0</v>
      </c>
      <c r="AE54" s="517">
        <f t="shared" si="81"/>
        <v>0</v>
      </c>
      <c r="AF54" s="517">
        <f t="shared" si="81"/>
        <v>0</v>
      </c>
      <c r="AG54" s="539">
        <f t="shared" si="81"/>
        <v>0</v>
      </c>
      <c r="AI54" s="40" t="s">
        <v>99</v>
      </c>
      <c r="AJ54" s="10"/>
      <c r="AK54" s="586">
        <f t="shared" ref="AK54:AW54" si="82">IF(BA48=0,0,BA54/BA48)</f>
        <v>0</v>
      </c>
      <c r="AL54" s="580">
        <f>IF(BB48=0,0,BB54/BB48)</f>
        <v>0</v>
      </c>
      <c r="AM54" s="581">
        <f>IF(BC48=0,0,BC54/BC48)</f>
        <v>0</v>
      </c>
      <c r="AN54" s="581">
        <f t="shared" si="82"/>
        <v>0</v>
      </c>
      <c r="AO54" s="581">
        <f t="shared" si="82"/>
        <v>0</v>
      </c>
      <c r="AP54" s="581">
        <f t="shared" si="82"/>
        <v>0</v>
      </c>
      <c r="AQ54" s="581">
        <f t="shared" si="82"/>
        <v>0</v>
      </c>
      <c r="AR54" s="581">
        <f t="shared" si="82"/>
        <v>0</v>
      </c>
      <c r="AS54" s="581">
        <f t="shared" si="82"/>
        <v>0</v>
      </c>
      <c r="AT54" s="581">
        <f t="shared" si="82"/>
        <v>0</v>
      </c>
      <c r="AU54" s="581">
        <f t="shared" si="82"/>
        <v>0</v>
      </c>
      <c r="AV54" s="581">
        <f t="shared" si="82"/>
        <v>0</v>
      </c>
      <c r="AW54" s="582">
        <f t="shared" si="82"/>
        <v>0</v>
      </c>
      <c r="AY54" s="40" t="s">
        <v>98</v>
      </c>
      <c r="AZ54" s="17"/>
      <c r="BA54" s="417">
        <f>SUM(BA49:BA53)</f>
        <v>0</v>
      </c>
      <c r="BB54" s="549">
        <f t="shared" ref="BB54:BL54" si="83">SUM(BB49:BB53)</f>
        <v>0</v>
      </c>
      <c r="BC54" s="553">
        <f t="shared" si="83"/>
        <v>0</v>
      </c>
      <c r="BD54" s="553">
        <f t="shared" si="83"/>
        <v>0</v>
      </c>
      <c r="BE54" s="553">
        <f t="shared" si="83"/>
        <v>0</v>
      </c>
      <c r="BF54" s="553">
        <f t="shared" si="83"/>
        <v>0</v>
      </c>
      <c r="BG54" s="553">
        <f t="shared" si="83"/>
        <v>0</v>
      </c>
      <c r="BH54" s="553">
        <f t="shared" si="83"/>
        <v>0</v>
      </c>
      <c r="BI54" s="553">
        <f t="shared" si="83"/>
        <v>0</v>
      </c>
      <c r="BJ54" s="553">
        <f t="shared" si="83"/>
        <v>0</v>
      </c>
      <c r="BK54" s="553">
        <f t="shared" si="83"/>
        <v>0</v>
      </c>
      <c r="BL54" s="553">
        <f t="shared" si="83"/>
        <v>0</v>
      </c>
      <c r="BM54" s="554">
        <f>SUM(BM49:BM53)</f>
        <v>0</v>
      </c>
      <c r="CK54" s="57" t="s">
        <v>108</v>
      </c>
      <c r="CL54" s="510">
        <f>SUM(CM54:CX54)</f>
        <v>0</v>
      </c>
      <c r="CM54" s="511">
        <f>CM8*'3 Saalis'!CK54</f>
        <v>0</v>
      </c>
      <c r="CN54" s="438">
        <f>CN8*'3 Saalis'!CL54</f>
        <v>0</v>
      </c>
      <c r="CO54" s="438">
        <f>CO8*'3 Saalis'!CM54</f>
        <v>0</v>
      </c>
      <c r="CP54" s="438">
        <f>CP8*'3 Saalis'!CN54</f>
        <v>0</v>
      </c>
      <c r="CQ54" s="438">
        <f>CQ8*'3 Saalis'!CO54</f>
        <v>0</v>
      </c>
      <c r="CR54" s="438">
        <f>CR8*'3 Saalis'!CP54</f>
        <v>0</v>
      </c>
      <c r="CS54" s="438">
        <f>CS8*'3 Saalis'!CQ54</f>
        <v>0</v>
      </c>
      <c r="CT54" s="438">
        <f>CT8*'3 Saalis'!CR54</f>
        <v>0</v>
      </c>
      <c r="CU54" s="438">
        <f>CU8*'3 Saalis'!CS54</f>
        <v>0</v>
      </c>
      <c r="CV54" s="438">
        <f>CV8*'3 Saalis'!CT54</f>
        <v>0</v>
      </c>
      <c r="CW54" s="438">
        <f>CW8*'3 Saalis'!CU54</f>
        <v>0</v>
      </c>
      <c r="CX54" s="439">
        <f>CX8*'3 Saalis'!CV54</f>
        <v>0</v>
      </c>
    </row>
    <row r="55" spans="2:102" ht="13.5" thickBot="1" x14ac:dyDescent="0.25">
      <c r="E55" s="794" t="str">
        <f t="shared" ref="E55:P55" si="84">IF(E54&lt;0,"Ylimyynti!!!"," ")</f>
        <v xml:space="preserve"> </v>
      </c>
      <c r="F55" s="794" t="str">
        <f t="shared" si="84"/>
        <v xml:space="preserve"> </v>
      </c>
      <c r="G55" s="794" t="str">
        <f t="shared" si="84"/>
        <v xml:space="preserve"> </v>
      </c>
      <c r="H55" s="794" t="str">
        <f t="shared" si="84"/>
        <v xml:space="preserve"> </v>
      </c>
      <c r="I55" s="794" t="str">
        <f t="shared" si="84"/>
        <v xml:space="preserve"> </v>
      </c>
      <c r="J55" s="794" t="str">
        <f t="shared" si="84"/>
        <v xml:space="preserve"> </v>
      </c>
      <c r="K55" s="794" t="str">
        <f t="shared" si="84"/>
        <v xml:space="preserve"> </v>
      </c>
      <c r="L55" s="794" t="str">
        <f t="shared" si="84"/>
        <v xml:space="preserve"> </v>
      </c>
      <c r="M55" s="794" t="str">
        <f t="shared" si="84"/>
        <v xml:space="preserve"> </v>
      </c>
      <c r="N55" s="794" t="str">
        <f t="shared" si="84"/>
        <v xml:space="preserve"> </v>
      </c>
      <c r="O55" s="794" t="str">
        <f t="shared" si="84"/>
        <v xml:space="preserve"> </v>
      </c>
      <c r="P55" s="794" t="str">
        <f t="shared" si="84"/>
        <v xml:space="preserve"> </v>
      </c>
      <c r="CK55" s="57" t="s">
        <v>101</v>
      </c>
      <c r="CL55" s="510">
        <f>SUM(CM55:CX55)</f>
        <v>0</v>
      </c>
      <c r="CM55" s="511">
        <f>CM9*'3 Saalis'!CK55</f>
        <v>0</v>
      </c>
      <c r="CN55" s="438">
        <f>CN9*'3 Saalis'!CL55</f>
        <v>0</v>
      </c>
      <c r="CO55" s="438">
        <f>CO9*'3 Saalis'!CM55</f>
        <v>0</v>
      </c>
      <c r="CP55" s="438">
        <f>CP9*'3 Saalis'!CN55</f>
        <v>0</v>
      </c>
      <c r="CQ55" s="438">
        <f>CQ9*'3 Saalis'!CO55</f>
        <v>0</v>
      </c>
      <c r="CR55" s="438">
        <f>CR9*'3 Saalis'!CP55</f>
        <v>0</v>
      </c>
      <c r="CS55" s="438">
        <f>CS9*'3 Saalis'!CQ55</f>
        <v>0</v>
      </c>
      <c r="CT55" s="438">
        <f>CT9*'3 Saalis'!CR55</f>
        <v>0</v>
      </c>
      <c r="CU55" s="438">
        <f>CU9*'3 Saalis'!CS55</f>
        <v>0</v>
      </c>
      <c r="CV55" s="438">
        <f>CV9*'3 Saalis'!CT55</f>
        <v>0</v>
      </c>
      <c r="CW55" s="438">
        <f>CW9*'3 Saalis'!CU55</f>
        <v>0</v>
      </c>
      <c r="CX55" s="439">
        <f>CX9*'3 Saalis'!CV55</f>
        <v>0</v>
      </c>
    </row>
    <row r="56" spans="2:102" ht="13.5" thickBot="1" x14ac:dyDescent="0.25">
      <c r="B56" s="5" t="s">
        <v>75</v>
      </c>
      <c r="C56" s="36"/>
      <c r="D56" s="249" t="s">
        <v>40</v>
      </c>
      <c r="E56" s="245"/>
      <c r="F56" s="246"/>
      <c r="G56" s="246"/>
      <c r="H56" s="246"/>
      <c r="I56" s="246"/>
      <c r="J56" s="219" t="s">
        <v>42</v>
      </c>
      <c r="K56" s="246"/>
      <c r="L56" s="246"/>
      <c r="M56" s="246"/>
      <c r="N56" s="246"/>
      <c r="O56" s="246"/>
      <c r="P56" s="247"/>
      <c r="Q56" s="250"/>
      <c r="S56" s="251" t="s">
        <v>75</v>
      </c>
      <c r="T56" s="252"/>
      <c r="U56" s="249" t="s">
        <v>40</v>
      </c>
      <c r="V56" s="245"/>
      <c r="W56" s="246"/>
      <c r="X56" s="246"/>
      <c r="Y56" s="246"/>
      <c r="Z56" s="246"/>
      <c r="AA56" s="219" t="s">
        <v>42</v>
      </c>
      <c r="AB56" s="246"/>
      <c r="AC56" s="246"/>
      <c r="AD56" s="246"/>
      <c r="AE56" s="246"/>
      <c r="AF56" s="246"/>
      <c r="AG56" s="247"/>
      <c r="AI56" s="5" t="s">
        <v>75</v>
      </c>
      <c r="AJ56" s="36"/>
      <c r="AK56" s="51" t="s">
        <v>40</v>
      </c>
      <c r="AL56" s="47"/>
      <c r="AM56" s="48"/>
      <c r="AN56" s="48"/>
      <c r="AO56" s="48"/>
      <c r="AP56" s="48"/>
      <c r="AQ56" s="41" t="s">
        <v>42</v>
      </c>
      <c r="AR56" s="48"/>
      <c r="AS56" s="48"/>
      <c r="AT56" s="48"/>
      <c r="AU56" s="48"/>
      <c r="AV56" s="48"/>
      <c r="AW56" s="49"/>
      <c r="AY56" s="5" t="s">
        <v>75</v>
      </c>
      <c r="AZ56" s="36"/>
      <c r="BA56" s="249" t="s">
        <v>40</v>
      </c>
      <c r="BB56" s="245"/>
      <c r="BC56" s="246"/>
      <c r="BD56" s="246"/>
      <c r="BE56" s="246"/>
      <c r="BF56" s="246"/>
      <c r="BG56" s="219" t="s">
        <v>42</v>
      </c>
      <c r="BH56" s="246"/>
      <c r="BI56" s="246"/>
      <c r="BJ56" s="246"/>
      <c r="BK56" s="246"/>
      <c r="BL56" s="246"/>
      <c r="BM56" s="247"/>
      <c r="CK56" s="57" t="s">
        <v>102</v>
      </c>
      <c r="CL56" s="510">
        <f>SUM(CM56:CX56)</f>
        <v>0</v>
      </c>
      <c r="CM56" s="511">
        <f>CM10*'3 Saalis'!CK56</f>
        <v>0</v>
      </c>
      <c r="CN56" s="438">
        <f>CN10*'3 Saalis'!CL56</f>
        <v>0</v>
      </c>
      <c r="CO56" s="438">
        <f>CO10*'3 Saalis'!CM56</f>
        <v>0</v>
      </c>
      <c r="CP56" s="438">
        <f>CP10*'3 Saalis'!CN56</f>
        <v>0</v>
      </c>
      <c r="CQ56" s="438">
        <f>CQ10*'3 Saalis'!CO56</f>
        <v>0</v>
      </c>
      <c r="CR56" s="438">
        <f>CR10*'3 Saalis'!CP56</f>
        <v>0</v>
      </c>
      <c r="CS56" s="438">
        <f>CS10*'3 Saalis'!CQ56</f>
        <v>0</v>
      </c>
      <c r="CT56" s="438">
        <f>CT10*'3 Saalis'!CR56</f>
        <v>0</v>
      </c>
      <c r="CU56" s="438">
        <f>CU10*'3 Saalis'!CS56</f>
        <v>0</v>
      </c>
      <c r="CV56" s="438">
        <f>CV10*'3 Saalis'!CT56</f>
        <v>0</v>
      </c>
      <c r="CW56" s="438">
        <f>CW10*'3 Saalis'!CU56</f>
        <v>0</v>
      </c>
      <c r="CX56" s="439">
        <f>CX10*'3 Saalis'!CV56</f>
        <v>0</v>
      </c>
    </row>
    <row r="57" spans="2:102" ht="13.5" thickBot="1" x14ac:dyDescent="0.25">
      <c r="B57" s="57"/>
      <c r="C57" s="59"/>
      <c r="D57" s="253" t="s">
        <v>41</v>
      </c>
      <c r="E57" s="254">
        <v>1</v>
      </c>
      <c r="F57" s="70">
        <v>2</v>
      </c>
      <c r="G57" s="70">
        <v>3</v>
      </c>
      <c r="H57" s="70">
        <v>4</v>
      </c>
      <c r="I57" s="70">
        <v>5</v>
      </c>
      <c r="J57" s="70">
        <v>6</v>
      </c>
      <c r="K57" s="70">
        <v>7</v>
      </c>
      <c r="L57" s="70">
        <v>8</v>
      </c>
      <c r="M57" s="70">
        <v>9</v>
      </c>
      <c r="N57" s="70">
        <v>10</v>
      </c>
      <c r="O57" s="70">
        <v>11</v>
      </c>
      <c r="P57" s="71">
        <v>12</v>
      </c>
      <c r="Q57" s="87"/>
      <c r="S57" s="255"/>
      <c r="T57" s="256"/>
      <c r="U57" s="253" t="s">
        <v>41</v>
      </c>
      <c r="V57" s="254">
        <v>1</v>
      </c>
      <c r="W57" s="70">
        <v>2</v>
      </c>
      <c r="X57" s="70">
        <v>3</v>
      </c>
      <c r="Y57" s="70">
        <v>4</v>
      </c>
      <c r="Z57" s="70">
        <v>5</v>
      </c>
      <c r="AA57" s="70">
        <v>6</v>
      </c>
      <c r="AB57" s="70">
        <v>7</v>
      </c>
      <c r="AC57" s="70">
        <v>8</v>
      </c>
      <c r="AD57" s="70">
        <v>9</v>
      </c>
      <c r="AE57" s="70">
        <v>10</v>
      </c>
      <c r="AF57" s="70">
        <v>11</v>
      </c>
      <c r="AG57" s="71">
        <v>12</v>
      </c>
      <c r="AI57" s="57"/>
      <c r="AJ57" s="59"/>
      <c r="AK57" s="69" t="s">
        <v>41</v>
      </c>
      <c r="AL57" s="72">
        <v>1</v>
      </c>
      <c r="AM57" s="70">
        <v>2</v>
      </c>
      <c r="AN57" s="70">
        <v>3</v>
      </c>
      <c r="AO57" s="70">
        <v>4</v>
      </c>
      <c r="AP57" s="70">
        <v>5</v>
      </c>
      <c r="AQ57" s="70">
        <v>6</v>
      </c>
      <c r="AR57" s="70">
        <v>7</v>
      </c>
      <c r="AS57" s="70">
        <v>8</v>
      </c>
      <c r="AT57" s="70">
        <v>9</v>
      </c>
      <c r="AU57" s="70">
        <v>10</v>
      </c>
      <c r="AV57" s="70">
        <v>11</v>
      </c>
      <c r="AW57" s="71">
        <v>12</v>
      </c>
      <c r="AY57" s="57"/>
      <c r="AZ57" s="59"/>
      <c r="BA57" s="253" t="s">
        <v>41</v>
      </c>
      <c r="BB57" s="254">
        <v>1</v>
      </c>
      <c r="BC57" s="70">
        <v>2</v>
      </c>
      <c r="BD57" s="70">
        <v>3</v>
      </c>
      <c r="BE57" s="70">
        <v>4</v>
      </c>
      <c r="BF57" s="70">
        <v>5</v>
      </c>
      <c r="BG57" s="70">
        <v>6</v>
      </c>
      <c r="BH57" s="70">
        <v>7</v>
      </c>
      <c r="BI57" s="70">
        <v>8</v>
      </c>
      <c r="BJ57" s="70">
        <v>9</v>
      </c>
      <c r="BK57" s="70">
        <v>10</v>
      </c>
      <c r="BL57" s="70">
        <v>11</v>
      </c>
      <c r="BM57" s="71">
        <v>12</v>
      </c>
      <c r="CK57" s="57" t="s">
        <v>103</v>
      </c>
      <c r="CL57" s="510">
        <f>SUM(CM57:CX57)</f>
        <v>0</v>
      </c>
      <c r="CM57" s="511">
        <f>CM11*'3 Saalis'!CK57</f>
        <v>0</v>
      </c>
      <c r="CN57" s="438">
        <f>CN11*'3 Saalis'!CL57</f>
        <v>0</v>
      </c>
      <c r="CO57" s="438">
        <f>CO11*'3 Saalis'!CM57</f>
        <v>0</v>
      </c>
      <c r="CP57" s="438">
        <f>CP11*'3 Saalis'!CN57</f>
        <v>0</v>
      </c>
      <c r="CQ57" s="438">
        <f>CQ11*'3 Saalis'!CO57</f>
        <v>0</v>
      </c>
      <c r="CR57" s="438">
        <f>CR11*'3 Saalis'!CP57</f>
        <v>0</v>
      </c>
      <c r="CS57" s="438">
        <f>CS11*'3 Saalis'!CQ57</f>
        <v>0</v>
      </c>
      <c r="CT57" s="438">
        <f>CT11*'3 Saalis'!CR57</f>
        <v>0</v>
      </c>
      <c r="CU57" s="438">
        <f>CU11*'3 Saalis'!CS57</f>
        <v>0</v>
      </c>
      <c r="CV57" s="438">
        <f>CV11*'3 Saalis'!CT57</f>
        <v>0</v>
      </c>
      <c r="CW57" s="438">
        <f>CW11*'3 Saalis'!CU57</f>
        <v>0</v>
      </c>
      <c r="CX57" s="439">
        <f>CX11*'3 Saalis'!CV57</f>
        <v>0</v>
      </c>
    </row>
    <row r="58" spans="2:102" ht="13.5" thickBot="1" x14ac:dyDescent="0.25">
      <c r="B58" s="8" t="s">
        <v>73</v>
      </c>
      <c r="C58" s="58"/>
      <c r="D58" s="423">
        <f>'3 Saalis'!D11</f>
        <v>0</v>
      </c>
      <c r="E58" s="487">
        <f>'3 Saalis'!E11</f>
        <v>0</v>
      </c>
      <c r="F58" s="488">
        <f>'3 Saalis'!F11</f>
        <v>0</v>
      </c>
      <c r="G58" s="488">
        <f>'3 Saalis'!G11</f>
        <v>0</v>
      </c>
      <c r="H58" s="488">
        <f>'3 Saalis'!H11</f>
        <v>0</v>
      </c>
      <c r="I58" s="488">
        <f>'3 Saalis'!I11</f>
        <v>0</v>
      </c>
      <c r="J58" s="488">
        <f>'3 Saalis'!J11</f>
        <v>0</v>
      </c>
      <c r="K58" s="488">
        <f>'3 Saalis'!K11</f>
        <v>0</v>
      </c>
      <c r="L58" s="488">
        <f>'3 Saalis'!L11</f>
        <v>0</v>
      </c>
      <c r="M58" s="488">
        <f>'3 Saalis'!M11</f>
        <v>0</v>
      </c>
      <c r="N58" s="488">
        <f>'3 Saalis'!N11</f>
        <v>0</v>
      </c>
      <c r="O58" s="488">
        <f>'3 Saalis'!O11</f>
        <v>0</v>
      </c>
      <c r="P58" s="489">
        <f>'3 Saalis'!P11</f>
        <v>0</v>
      </c>
      <c r="Q58" s="257"/>
      <c r="S58" s="260" t="s">
        <v>73</v>
      </c>
      <c r="T58" s="261"/>
      <c r="U58" s="423">
        <f t="shared" ref="U58:AG58" si="85">D58</f>
        <v>0</v>
      </c>
      <c r="V58" s="461">
        <f t="shared" si="85"/>
        <v>0</v>
      </c>
      <c r="W58" s="453">
        <f t="shared" si="85"/>
        <v>0</v>
      </c>
      <c r="X58" s="453">
        <f t="shared" si="85"/>
        <v>0</v>
      </c>
      <c r="Y58" s="453">
        <f t="shared" si="85"/>
        <v>0</v>
      </c>
      <c r="Z58" s="453">
        <f t="shared" si="85"/>
        <v>0</v>
      </c>
      <c r="AA58" s="453">
        <f t="shared" si="85"/>
        <v>0</v>
      </c>
      <c r="AB58" s="453">
        <f t="shared" si="85"/>
        <v>0</v>
      </c>
      <c r="AC58" s="453">
        <f t="shared" si="85"/>
        <v>0</v>
      </c>
      <c r="AD58" s="453">
        <f t="shared" si="85"/>
        <v>0</v>
      </c>
      <c r="AE58" s="453">
        <f t="shared" si="85"/>
        <v>0</v>
      </c>
      <c r="AF58" s="453">
        <f t="shared" si="85"/>
        <v>0</v>
      </c>
      <c r="AG58" s="454">
        <f t="shared" si="85"/>
        <v>0</v>
      </c>
      <c r="AI58" s="8" t="s">
        <v>73</v>
      </c>
      <c r="AJ58" s="58"/>
      <c r="AK58" s="424">
        <f>D58</f>
        <v>0</v>
      </c>
      <c r="AL58" s="572">
        <f t="shared" ref="AL58:AW58" si="86">E58</f>
        <v>0</v>
      </c>
      <c r="AM58" s="572">
        <f t="shared" si="86"/>
        <v>0</v>
      </c>
      <c r="AN58" s="572">
        <f t="shared" si="86"/>
        <v>0</v>
      </c>
      <c r="AO58" s="572">
        <f t="shared" si="86"/>
        <v>0</v>
      </c>
      <c r="AP58" s="572">
        <f t="shared" si="86"/>
        <v>0</v>
      </c>
      <c r="AQ58" s="572">
        <f t="shared" si="86"/>
        <v>0</v>
      </c>
      <c r="AR58" s="572">
        <f t="shared" si="86"/>
        <v>0</v>
      </c>
      <c r="AS58" s="572">
        <f t="shared" si="86"/>
        <v>0</v>
      </c>
      <c r="AT58" s="572">
        <f t="shared" si="86"/>
        <v>0</v>
      </c>
      <c r="AU58" s="572">
        <f t="shared" si="86"/>
        <v>0</v>
      </c>
      <c r="AV58" s="572">
        <f t="shared" si="86"/>
        <v>0</v>
      </c>
      <c r="AW58" s="1135">
        <f t="shared" si="86"/>
        <v>0</v>
      </c>
      <c r="AY58" s="8" t="s">
        <v>73</v>
      </c>
      <c r="AZ58" s="58"/>
      <c r="BA58" s="423">
        <f t="shared" ref="BA58:BM58" si="87">AK58</f>
        <v>0</v>
      </c>
      <c r="BB58" s="488">
        <f t="shared" si="87"/>
        <v>0</v>
      </c>
      <c r="BC58" s="488">
        <f t="shared" si="87"/>
        <v>0</v>
      </c>
      <c r="BD58" s="488">
        <f t="shared" si="87"/>
        <v>0</v>
      </c>
      <c r="BE58" s="488">
        <f t="shared" si="87"/>
        <v>0</v>
      </c>
      <c r="BF58" s="488">
        <f t="shared" si="87"/>
        <v>0</v>
      </c>
      <c r="BG58" s="488">
        <f t="shared" si="87"/>
        <v>0</v>
      </c>
      <c r="BH58" s="488">
        <f t="shared" si="87"/>
        <v>0</v>
      </c>
      <c r="BI58" s="488">
        <f t="shared" si="87"/>
        <v>0</v>
      </c>
      <c r="BJ58" s="488">
        <f t="shared" si="87"/>
        <v>0</v>
      </c>
      <c r="BK58" s="488">
        <f t="shared" si="87"/>
        <v>0</v>
      </c>
      <c r="BL58" s="488">
        <f t="shared" si="87"/>
        <v>0</v>
      </c>
      <c r="BM58" s="454">
        <f t="shared" si="87"/>
        <v>0</v>
      </c>
      <c r="CK58" s="57" t="s">
        <v>104</v>
      </c>
      <c r="CL58" s="510">
        <f t="shared" ref="CL58:CL64" si="88">SUM(CM58:CX58)</f>
        <v>0</v>
      </c>
      <c r="CM58" s="511">
        <f>CM12*'3 Saalis'!CK58</f>
        <v>0</v>
      </c>
      <c r="CN58" s="438">
        <f>CN12*'3 Saalis'!CL58</f>
        <v>0</v>
      </c>
      <c r="CO58" s="438">
        <f>CO12*'3 Saalis'!CM58</f>
        <v>0</v>
      </c>
      <c r="CP58" s="438">
        <f>CP12*'3 Saalis'!CN58</f>
        <v>0</v>
      </c>
      <c r="CQ58" s="438">
        <f>CQ12*'3 Saalis'!CO58</f>
        <v>0</v>
      </c>
      <c r="CR58" s="438">
        <f>CR12*'3 Saalis'!CP58</f>
        <v>0</v>
      </c>
      <c r="CS58" s="438">
        <f>CS12*'3 Saalis'!CQ58</f>
        <v>0</v>
      </c>
      <c r="CT58" s="438">
        <f>CT12*'3 Saalis'!CR58</f>
        <v>0</v>
      </c>
      <c r="CU58" s="438">
        <f>CU12*'3 Saalis'!CS58</f>
        <v>0</v>
      </c>
      <c r="CV58" s="438">
        <f>CV12*'3 Saalis'!CT58</f>
        <v>0</v>
      </c>
      <c r="CW58" s="438">
        <f>CW12*'3 Saalis'!CU58</f>
        <v>0</v>
      </c>
      <c r="CX58" s="439">
        <f>CX12*'3 Saalis'!CV58</f>
        <v>0</v>
      </c>
    </row>
    <row r="59" spans="2:102" x14ac:dyDescent="0.2">
      <c r="B59" s="5" t="s">
        <v>64</v>
      </c>
      <c r="C59" s="73" t="s">
        <v>76</v>
      </c>
      <c r="D59" s="452">
        <f t="shared" ref="D59:D65" si="89">SUM(E59:P59)</f>
        <v>0</v>
      </c>
      <c r="E59" s="1482"/>
      <c r="F59" s="1468"/>
      <c r="G59" s="1468"/>
      <c r="H59" s="1468"/>
      <c r="I59" s="1468"/>
      <c r="J59" s="1468"/>
      <c r="K59" s="1468"/>
      <c r="L59" s="1468"/>
      <c r="M59" s="1468"/>
      <c r="N59" s="1468"/>
      <c r="O59" s="1468"/>
      <c r="P59" s="1469"/>
      <c r="S59" s="251" t="s">
        <v>64</v>
      </c>
      <c r="T59" s="264" t="s">
        <v>76</v>
      </c>
      <c r="U59" s="449">
        <f>SUM(V59:AG59)</f>
        <v>0</v>
      </c>
      <c r="V59" s="523">
        <f t="shared" ref="V59:AG59" si="90">E59</f>
        <v>0</v>
      </c>
      <c r="W59" s="523">
        <f t="shared" si="90"/>
        <v>0</v>
      </c>
      <c r="X59" s="523">
        <f t="shared" si="90"/>
        <v>0</v>
      </c>
      <c r="Y59" s="523">
        <f t="shared" si="90"/>
        <v>0</v>
      </c>
      <c r="Z59" s="523">
        <f>I59</f>
        <v>0</v>
      </c>
      <c r="AA59" s="523">
        <f t="shared" si="90"/>
        <v>0</v>
      </c>
      <c r="AB59" s="523">
        <f t="shared" si="90"/>
        <v>0</v>
      </c>
      <c r="AC59" s="523">
        <f t="shared" si="90"/>
        <v>0</v>
      </c>
      <c r="AD59" s="523">
        <f t="shared" si="90"/>
        <v>0</v>
      </c>
      <c r="AE59" s="523">
        <f t="shared" si="90"/>
        <v>0</v>
      </c>
      <c r="AF59" s="523">
        <f t="shared" si="90"/>
        <v>0</v>
      </c>
      <c r="AG59" s="538">
        <f t="shared" si="90"/>
        <v>0</v>
      </c>
      <c r="AI59" s="5" t="s">
        <v>64</v>
      </c>
      <c r="AJ59" s="73" t="s">
        <v>76</v>
      </c>
      <c r="AK59" s="576">
        <f>IF(D59=0,0,BA59/D59)</f>
        <v>0</v>
      </c>
      <c r="AL59" s="1496">
        <v>5.38</v>
      </c>
      <c r="AM59" s="1511">
        <v>5.34</v>
      </c>
      <c r="AN59" s="1511">
        <v>5.25</v>
      </c>
      <c r="AO59" s="1511">
        <v>5.1100000000000003</v>
      </c>
      <c r="AP59" s="1511">
        <v>5.05</v>
      </c>
      <c r="AQ59" s="1511">
        <v>5.05</v>
      </c>
      <c r="AR59" s="1511">
        <v>5.45</v>
      </c>
      <c r="AS59" s="1511">
        <v>5.86</v>
      </c>
      <c r="AT59" s="1511">
        <v>5.41</v>
      </c>
      <c r="AU59" s="1511">
        <v>4.71</v>
      </c>
      <c r="AV59" s="1511">
        <v>4.6100000000000003</v>
      </c>
      <c r="AW59" s="1498">
        <v>4.8099999999999996</v>
      </c>
      <c r="AY59" s="5" t="s">
        <v>64</v>
      </c>
      <c r="AZ59" s="73" t="s">
        <v>76</v>
      </c>
      <c r="BA59" s="452">
        <f t="shared" ref="BA59:BA64" si="91">SUM(BB59:BM59)</f>
        <v>0</v>
      </c>
      <c r="BB59" s="519">
        <f>V59*AL59</f>
        <v>0</v>
      </c>
      <c r="BC59" s="500">
        <f t="shared" ref="BC59:BM65" si="92">W59*AM59</f>
        <v>0</v>
      </c>
      <c r="BD59" s="500">
        <f t="shared" si="92"/>
        <v>0</v>
      </c>
      <c r="BE59" s="500">
        <f t="shared" si="92"/>
        <v>0</v>
      </c>
      <c r="BF59" s="500">
        <f t="shared" si="92"/>
        <v>0</v>
      </c>
      <c r="BG59" s="500">
        <f t="shared" si="92"/>
        <v>0</v>
      </c>
      <c r="BH59" s="500">
        <f t="shared" si="92"/>
        <v>0</v>
      </c>
      <c r="BI59" s="500">
        <f t="shared" si="92"/>
        <v>0</v>
      </c>
      <c r="BJ59" s="500">
        <f t="shared" si="92"/>
        <v>0</v>
      </c>
      <c r="BK59" s="500">
        <f t="shared" si="92"/>
        <v>0</v>
      </c>
      <c r="BL59" s="500">
        <f t="shared" si="92"/>
        <v>0</v>
      </c>
      <c r="BM59" s="529">
        <f t="shared" si="92"/>
        <v>0</v>
      </c>
      <c r="CK59" s="57" t="s">
        <v>105</v>
      </c>
      <c r="CL59" s="510">
        <f t="shared" si="88"/>
        <v>0</v>
      </c>
      <c r="CM59" s="511">
        <f>CM13*'3 Saalis'!CK59</f>
        <v>0</v>
      </c>
      <c r="CN59" s="438">
        <f>CN13*'3 Saalis'!CL59</f>
        <v>0</v>
      </c>
      <c r="CO59" s="438">
        <f>CO13*'3 Saalis'!CM59</f>
        <v>0</v>
      </c>
      <c r="CP59" s="438">
        <f>CP13*'3 Saalis'!CN59</f>
        <v>0</v>
      </c>
      <c r="CQ59" s="438">
        <f>CQ13*'3 Saalis'!CO59</f>
        <v>0</v>
      </c>
      <c r="CR59" s="438">
        <f>CR13*'3 Saalis'!CP59</f>
        <v>0</v>
      </c>
      <c r="CS59" s="438">
        <f>CS13*'3 Saalis'!CQ59</f>
        <v>0</v>
      </c>
      <c r="CT59" s="438">
        <f>CT13*'3 Saalis'!CR59</f>
        <v>0</v>
      </c>
      <c r="CU59" s="438">
        <f>CU13*'3 Saalis'!CS59</f>
        <v>0</v>
      </c>
      <c r="CV59" s="438">
        <f>CV13*'3 Saalis'!CT59</f>
        <v>0</v>
      </c>
      <c r="CW59" s="438">
        <f>CW13*'3 Saalis'!CU59</f>
        <v>0</v>
      </c>
      <c r="CX59" s="439">
        <f>CX13*'3 Saalis'!CV59</f>
        <v>0</v>
      </c>
    </row>
    <row r="60" spans="2:102" x14ac:dyDescent="0.2">
      <c r="B60" s="57"/>
      <c r="C60" s="59" t="s">
        <v>77</v>
      </c>
      <c r="D60" s="501">
        <f>SUM(E60:P60)</f>
        <v>0</v>
      </c>
      <c r="E60" s="1486"/>
      <c r="F60" s="1471"/>
      <c r="G60" s="1471"/>
      <c r="H60" s="1471"/>
      <c r="I60" s="1471"/>
      <c r="J60" s="1471"/>
      <c r="K60" s="1471"/>
      <c r="L60" s="1471"/>
      <c r="M60" s="1471"/>
      <c r="N60" s="1471"/>
      <c r="O60" s="1471"/>
      <c r="P60" s="1472"/>
      <c r="S60" s="255"/>
      <c r="T60" s="256" t="s">
        <v>77</v>
      </c>
      <c r="U60" s="450">
        <f t="shared" ref="U60:U65" si="93">SUM(V60:AG60)</f>
        <v>0</v>
      </c>
      <c r="V60" s="514">
        <f>E60*'5 Kalan alkukäsittely satamassa'!$D$9</f>
        <v>0</v>
      </c>
      <c r="W60" s="524">
        <f>F60*'5 Kalan alkukäsittely satamassa'!$D$9</f>
        <v>0</v>
      </c>
      <c r="X60" s="524">
        <f>G60*'5 Kalan alkukäsittely satamassa'!$D$9</f>
        <v>0</v>
      </c>
      <c r="Y60" s="524">
        <f>H60*'5 Kalan alkukäsittely satamassa'!$D$9</f>
        <v>0</v>
      </c>
      <c r="Z60" s="524">
        <f>I60*'5 Kalan alkukäsittely satamassa'!$D$9</f>
        <v>0</v>
      </c>
      <c r="AA60" s="524">
        <f>J60*'5 Kalan alkukäsittely satamassa'!$D$9</f>
        <v>0</v>
      </c>
      <c r="AB60" s="524">
        <f>K60*'5 Kalan alkukäsittely satamassa'!$D$9</f>
        <v>0</v>
      </c>
      <c r="AC60" s="524">
        <f>L60*'5 Kalan alkukäsittely satamassa'!$D$9</f>
        <v>0</v>
      </c>
      <c r="AD60" s="524">
        <f>M60*'5 Kalan alkukäsittely satamassa'!$D$9</f>
        <v>0</v>
      </c>
      <c r="AE60" s="524">
        <f>N60*'5 Kalan alkukäsittely satamassa'!$D$9</f>
        <v>0</v>
      </c>
      <c r="AF60" s="524">
        <f>O60*'5 Kalan alkukäsittely satamassa'!$D$9</f>
        <v>0</v>
      </c>
      <c r="AG60" s="525">
        <f>P60*'5 Kalan alkukäsittely satamassa'!$D$9</f>
        <v>0</v>
      </c>
      <c r="AI60" s="57"/>
      <c r="AJ60" s="59" t="s">
        <v>77</v>
      </c>
      <c r="AK60" s="576">
        <f t="shared" ref="AK60:AK65" si="94">IF(D60=0,0,BA60/D60)</f>
        <v>0</v>
      </c>
      <c r="AL60" s="1501">
        <v>6.39</v>
      </c>
      <c r="AM60" s="1502">
        <v>6.39</v>
      </c>
      <c r="AN60" s="1502">
        <v>6.39</v>
      </c>
      <c r="AO60" s="1502">
        <v>6.39</v>
      </c>
      <c r="AP60" s="1502">
        <v>6.39</v>
      </c>
      <c r="AQ60" s="1502">
        <v>6.39</v>
      </c>
      <c r="AR60" s="1502">
        <v>6.39</v>
      </c>
      <c r="AS60" s="1502">
        <v>6.39</v>
      </c>
      <c r="AT60" s="1502">
        <v>6.39</v>
      </c>
      <c r="AU60" s="1502">
        <v>6.39</v>
      </c>
      <c r="AV60" s="1502">
        <v>6.39</v>
      </c>
      <c r="AW60" s="1503">
        <v>6.39</v>
      </c>
      <c r="AY60" s="57"/>
      <c r="AZ60" s="59" t="s">
        <v>77</v>
      </c>
      <c r="BA60" s="501">
        <f t="shared" si="91"/>
        <v>0</v>
      </c>
      <c r="BB60" s="530">
        <f t="shared" ref="BB60:BB65" si="95">V60*AL60</f>
        <v>0</v>
      </c>
      <c r="BC60" s="524">
        <f t="shared" si="92"/>
        <v>0</v>
      </c>
      <c r="BD60" s="524">
        <f t="shared" si="92"/>
        <v>0</v>
      </c>
      <c r="BE60" s="524">
        <f t="shared" si="92"/>
        <v>0</v>
      </c>
      <c r="BF60" s="524">
        <f t="shared" si="92"/>
        <v>0</v>
      </c>
      <c r="BG60" s="524">
        <f t="shared" si="92"/>
        <v>0</v>
      </c>
      <c r="BH60" s="524">
        <f t="shared" si="92"/>
        <v>0</v>
      </c>
      <c r="BI60" s="524">
        <f t="shared" si="92"/>
        <v>0</v>
      </c>
      <c r="BJ60" s="524">
        <f t="shared" si="92"/>
        <v>0</v>
      </c>
      <c r="BK60" s="524">
        <f t="shared" si="92"/>
        <v>0</v>
      </c>
      <c r="BL60" s="524">
        <f t="shared" si="92"/>
        <v>0</v>
      </c>
      <c r="BM60" s="525">
        <f t="shared" si="92"/>
        <v>0</v>
      </c>
      <c r="CK60" s="57" t="s">
        <v>106</v>
      </c>
      <c r="CL60" s="510">
        <f t="shared" si="88"/>
        <v>0</v>
      </c>
      <c r="CM60" s="511">
        <f>CM14*'3 Saalis'!CK60</f>
        <v>0</v>
      </c>
      <c r="CN60" s="438">
        <f>CN14*'3 Saalis'!CL60</f>
        <v>0</v>
      </c>
      <c r="CO60" s="438">
        <f>CO14*'3 Saalis'!CM60</f>
        <v>0</v>
      </c>
      <c r="CP60" s="438">
        <f>CP14*'3 Saalis'!CN60</f>
        <v>0</v>
      </c>
      <c r="CQ60" s="438">
        <f>CQ14*'3 Saalis'!CO60</f>
        <v>0</v>
      </c>
      <c r="CR60" s="438">
        <f>CR14*'3 Saalis'!CP60</f>
        <v>0</v>
      </c>
      <c r="CS60" s="438">
        <f>CS14*'3 Saalis'!CQ60</f>
        <v>0</v>
      </c>
      <c r="CT60" s="438">
        <f>CT14*'3 Saalis'!CR60</f>
        <v>0</v>
      </c>
      <c r="CU60" s="438">
        <f>CU14*'3 Saalis'!CS60</f>
        <v>0</v>
      </c>
      <c r="CV60" s="438">
        <f>CV14*'3 Saalis'!CT60</f>
        <v>0</v>
      </c>
      <c r="CW60" s="438">
        <f>CW14*'3 Saalis'!CU60</f>
        <v>0</v>
      </c>
      <c r="CX60" s="439">
        <f>CX14*'3 Saalis'!CV60</f>
        <v>0</v>
      </c>
    </row>
    <row r="61" spans="2:102" ht="13.5" thickBot="1" x14ac:dyDescent="0.25">
      <c r="B61" s="40"/>
      <c r="C61" s="56" t="s">
        <v>78</v>
      </c>
      <c r="D61" s="498">
        <f>SUM(E61:P61)</f>
        <v>0</v>
      </c>
      <c r="E61" s="1483"/>
      <c r="F61" s="1477"/>
      <c r="G61" s="1477"/>
      <c r="H61" s="1477"/>
      <c r="I61" s="1477"/>
      <c r="J61" s="1477"/>
      <c r="K61" s="1477"/>
      <c r="L61" s="1477"/>
      <c r="M61" s="1477"/>
      <c r="N61" s="1477"/>
      <c r="O61" s="1477"/>
      <c r="P61" s="1478"/>
      <c r="S61" s="258"/>
      <c r="T61" s="259" t="s">
        <v>78</v>
      </c>
      <c r="U61" s="451">
        <f>SUM(V61:AG61)</f>
        <v>0</v>
      </c>
      <c r="V61" s="518">
        <f>E61*'5 Kalan alkukäsittely satamassa'!$F$9</f>
        <v>0</v>
      </c>
      <c r="W61" s="518">
        <f>F61*'5 Kalan alkukäsittely satamassa'!$F$9</f>
        <v>0</v>
      </c>
      <c r="X61" s="518">
        <f>G61*'5 Kalan alkukäsittely satamassa'!$F$9</f>
        <v>0</v>
      </c>
      <c r="Y61" s="518">
        <f>H61*'5 Kalan alkukäsittely satamassa'!$F$9</f>
        <v>0</v>
      </c>
      <c r="Z61" s="518">
        <f>I61*'5 Kalan alkukäsittely satamassa'!$F$9</f>
        <v>0</v>
      </c>
      <c r="AA61" s="518">
        <f>J61*'5 Kalan alkukäsittely satamassa'!$F$9</f>
        <v>0</v>
      </c>
      <c r="AB61" s="518">
        <f>K61*'5 Kalan alkukäsittely satamassa'!$F$9</f>
        <v>0</v>
      </c>
      <c r="AC61" s="518">
        <f>L61*'5 Kalan alkukäsittely satamassa'!$F$9</f>
        <v>0</v>
      </c>
      <c r="AD61" s="518">
        <f>M61*'5 Kalan alkukäsittely satamassa'!$F$9</f>
        <v>0</v>
      </c>
      <c r="AE61" s="518">
        <f>N61*'5 Kalan alkukäsittely satamassa'!$F$9</f>
        <v>0</v>
      </c>
      <c r="AF61" s="518">
        <f>O61*'5 Kalan alkukäsittely satamassa'!$F$9</f>
        <v>0</v>
      </c>
      <c r="AG61" s="543">
        <f>P61*'5 Kalan alkukäsittely satamassa'!$F$9</f>
        <v>0</v>
      </c>
      <c r="AI61" s="57"/>
      <c r="AJ61" s="59" t="s">
        <v>78</v>
      </c>
      <c r="AK61" s="577">
        <f t="shared" si="94"/>
        <v>0</v>
      </c>
      <c r="AL61" s="1508">
        <v>13.05</v>
      </c>
      <c r="AM61" s="1509">
        <v>13.05</v>
      </c>
      <c r="AN61" s="1509">
        <v>13.05</v>
      </c>
      <c r="AO61" s="1509">
        <v>13.05</v>
      </c>
      <c r="AP61" s="1509">
        <v>13.05</v>
      </c>
      <c r="AQ61" s="1509">
        <v>13.05</v>
      </c>
      <c r="AR61" s="1509">
        <v>13.05</v>
      </c>
      <c r="AS61" s="1509">
        <v>13.05</v>
      </c>
      <c r="AT61" s="1509">
        <v>13.05</v>
      </c>
      <c r="AU61" s="1509">
        <v>13.05</v>
      </c>
      <c r="AV61" s="1509">
        <v>13.05</v>
      </c>
      <c r="AW61" s="1510">
        <v>13.05</v>
      </c>
      <c r="AY61" s="57"/>
      <c r="AZ61" s="59" t="s">
        <v>78</v>
      </c>
      <c r="BA61" s="555">
        <f t="shared" si="91"/>
        <v>0</v>
      </c>
      <c r="BB61" s="541">
        <f t="shared" si="95"/>
        <v>0</v>
      </c>
      <c r="BC61" s="542">
        <f t="shared" si="92"/>
        <v>0</v>
      </c>
      <c r="BD61" s="542">
        <f t="shared" si="92"/>
        <v>0</v>
      </c>
      <c r="BE61" s="542">
        <f t="shared" si="92"/>
        <v>0</v>
      </c>
      <c r="BF61" s="542">
        <f t="shared" si="92"/>
        <v>0</v>
      </c>
      <c r="BG61" s="542">
        <f t="shared" si="92"/>
        <v>0</v>
      </c>
      <c r="BH61" s="542">
        <f>AB61*AR61</f>
        <v>0</v>
      </c>
      <c r="BI61" s="542">
        <f t="shared" si="92"/>
        <v>0</v>
      </c>
      <c r="BJ61" s="542">
        <f t="shared" si="92"/>
        <v>0</v>
      </c>
      <c r="BK61" s="542">
        <f t="shared" si="92"/>
        <v>0</v>
      </c>
      <c r="BL61" s="542">
        <f t="shared" si="92"/>
        <v>0</v>
      </c>
      <c r="BM61" s="543">
        <f t="shared" si="92"/>
        <v>0</v>
      </c>
      <c r="CK61" s="57" t="s">
        <v>37</v>
      </c>
      <c r="CL61" s="510">
        <f t="shared" si="88"/>
        <v>0</v>
      </c>
      <c r="CM61" s="511">
        <f>CM15*'3 Saalis'!CK61</f>
        <v>0</v>
      </c>
      <c r="CN61" s="438">
        <f>CN15*'3 Saalis'!CL61</f>
        <v>0</v>
      </c>
      <c r="CO61" s="438">
        <f>CO15*'3 Saalis'!CM61</f>
        <v>0</v>
      </c>
      <c r="CP61" s="438">
        <f>CP15*'3 Saalis'!CN61</f>
        <v>0</v>
      </c>
      <c r="CQ61" s="438">
        <f>CQ15*'3 Saalis'!CO61</f>
        <v>0</v>
      </c>
      <c r="CR61" s="438">
        <f>CR15*'3 Saalis'!CP61</f>
        <v>0</v>
      </c>
      <c r="CS61" s="438">
        <f>CS15*'3 Saalis'!CQ61</f>
        <v>0</v>
      </c>
      <c r="CT61" s="438">
        <f>CT15*'3 Saalis'!CR61</f>
        <v>0</v>
      </c>
      <c r="CU61" s="438">
        <f>CU15*'3 Saalis'!CS61</f>
        <v>0</v>
      </c>
      <c r="CV61" s="438">
        <f>CV15*'3 Saalis'!CT61</f>
        <v>0</v>
      </c>
      <c r="CW61" s="438">
        <f>CW15*'3 Saalis'!CU61</f>
        <v>0</v>
      </c>
      <c r="CX61" s="439">
        <f>CX15*'3 Saalis'!CV61</f>
        <v>0</v>
      </c>
    </row>
    <row r="62" spans="2:102" x14ac:dyDescent="0.2">
      <c r="B62" s="57" t="s">
        <v>79</v>
      </c>
      <c r="C62" s="59" t="s">
        <v>76</v>
      </c>
      <c r="D62" s="452">
        <f t="shared" si="89"/>
        <v>0</v>
      </c>
      <c r="E62" s="1487"/>
      <c r="F62" s="1488"/>
      <c r="G62" s="1488"/>
      <c r="H62" s="1488"/>
      <c r="I62" s="1488"/>
      <c r="J62" s="1488"/>
      <c r="K62" s="1488"/>
      <c r="L62" s="1488"/>
      <c r="M62" s="1488"/>
      <c r="N62" s="1488"/>
      <c r="O62" s="1488"/>
      <c r="P62" s="1489"/>
      <c r="S62" s="255" t="s">
        <v>79</v>
      </c>
      <c r="T62" s="256" t="s">
        <v>76</v>
      </c>
      <c r="U62" s="449">
        <f t="shared" si="93"/>
        <v>0</v>
      </c>
      <c r="V62" s="499">
        <f t="shared" ref="V62:AG62" si="96">E62</f>
        <v>0</v>
      </c>
      <c r="W62" s="499">
        <f t="shared" si="96"/>
        <v>0</v>
      </c>
      <c r="X62" s="499">
        <f t="shared" si="96"/>
        <v>0</v>
      </c>
      <c r="Y62" s="499">
        <f>H62</f>
        <v>0</v>
      </c>
      <c r="Z62" s="499">
        <f t="shared" si="96"/>
        <v>0</v>
      </c>
      <c r="AA62" s="499">
        <f t="shared" si="96"/>
        <v>0</v>
      </c>
      <c r="AB62" s="499">
        <f t="shared" si="96"/>
        <v>0</v>
      </c>
      <c r="AC62" s="499">
        <f t="shared" si="96"/>
        <v>0</v>
      </c>
      <c r="AD62" s="499">
        <f t="shared" si="96"/>
        <v>0</v>
      </c>
      <c r="AE62" s="499">
        <f t="shared" si="96"/>
        <v>0</v>
      </c>
      <c r="AF62" s="499">
        <f t="shared" si="96"/>
        <v>0</v>
      </c>
      <c r="AG62" s="529">
        <f t="shared" si="96"/>
        <v>0</v>
      </c>
      <c r="AI62" s="5" t="s">
        <v>79</v>
      </c>
      <c r="AJ62" s="36" t="s">
        <v>76</v>
      </c>
      <c r="AK62" s="587">
        <f t="shared" si="94"/>
        <v>0</v>
      </c>
      <c r="AL62" s="1496">
        <v>6</v>
      </c>
      <c r="AM62" s="1511">
        <v>6</v>
      </c>
      <c r="AN62" s="1511">
        <v>6</v>
      </c>
      <c r="AO62" s="1511">
        <v>6</v>
      </c>
      <c r="AP62" s="1511">
        <v>6</v>
      </c>
      <c r="AQ62" s="1511">
        <v>6</v>
      </c>
      <c r="AR62" s="1511">
        <v>6</v>
      </c>
      <c r="AS62" s="1511">
        <v>6</v>
      </c>
      <c r="AT62" s="1511">
        <v>6</v>
      </c>
      <c r="AU62" s="1511">
        <v>6</v>
      </c>
      <c r="AV62" s="1511">
        <v>6</v>
      </c>
      <c r="AW62" s="1498">
        <v>6</v>
      </c>
      <c r="AY62" s="5" t="s">
        <v>79</v>
      </c>
      <c r="AZ62" s="36" t="s">
        <v>76</v>
      </c>
      <c r="BA62" s="544">
        <f t="shared" si="91"/>
        <v>0</v>
      </c>
      <c r="BB62" s="519">
        <f t="shared" si="95"/>
        <v>0</v>
      </c>
      <c r="BC62" s="500">
        <f t="shared" si="92"/>
        <v>0</v>
      </c>
      <c r="BD62" s="500">
        <f t="shared" si="92"/>
        <v>0</v>
      </c>
      <c r="BE62" s="500">
        <f t="shared" si="92"/>
        <v>0</v>
      </c>
      <c r="BF62" s="500">
        <f t="shared" si="92"/>
        <v>0</v>
      </c>
      <c r="BG62" s="500">
        <f t="shared" si="92"/>
        <v>0</v>
      </c>
      <c r="BH62" s="500">
        <f t="shared" si="92"/>
        <v>0</v>
      </c>
      <c r="BI62" s="500">
        <f t="shared" si="92"/>
        <v>0</v>
      </c>
      <c r="BJ62" s="500">
        <f t="shared" si="92"/>
        <v>0</v>
      </c>
      <c r="BK62" s="500">
        <f t="shared" si="92"/>
        <v>0</v>
      </c>
      <c r="BL62" s="500">
        <f t="shared" si="92"/>
        <v>0</v>
      </c>
      <c r="BM62" s="529">
        <f t="shared" si="92"/>
        <v>0</v>
      </c>
      <c r="CK62" s="57" t="s">
        <v>36</v>
      </c>
      <c r="CL62" s="510">
        <f t="shared" si="88"/>
        <v>0</v>
      </c>
      <c r="CM62" s="511">
        <f>CM16*'3 Saalis'!CK62</f>
        <v>0</v>
      </c>
      <c r="CN62" s="438">
        <f>CN16*'3 Saalis'!CL62</f>
        <v>0</v>
      </c>
      <c r="CO62" s="438">
        <f>CO16*'3 Saalis'!CM62</f>
        <v>0</v>
      </c>
      <c r="CP62" s="438">
        <f>CP16*'3 Saalis'!CN62</f>
        <v>0</v>
      </c>
      <c r="CQ62" s="438">
        <f>CQ16*'3 Saalis'!CO62</f>
        <v>0</v>
      </c>
      <c r="CR62" s="438">
        <f>CR16*'3 Saalis'!CP62</f>
        <v>0</v>
      </c>
      <c r="CS62" s="438">
        <f>CS16*'3 Saalis'!CQ62</f>
        <v>0</v>
      </c>
      <c r="CT62" s="438">
        <f>CT16*'3 Saalis'!CR62</f>
        <v>0</v>
      </c>
      <c r="CU62" s="438">
        <f>CU16*'3 Saalis'!CS62</f>
        <v>0</v>
      </c>
      <c r="CV62" s="438">
        <f>CV16*'3 Saalis'!CT62</f>
        <v>0</v>
      </c>
      <c r="CW62" s="438">
        <f>CW16*'3 Saalis'!CU62</f>
        <v>0</v>
      </c>
      <c r="CX62" s="439">
        <f>CX16*'3 Saalis'!CV62</f>
        <v>0</v>
      </c>
    </row>
    <row r="63" spans="2:102" x14ac:dyDescent="0.2">
      <c r="B63" s="57" t="s">
        <v>1</v>
      </c>
      <c r="C63" s="59" t="s">
        <v>77</v>
      </c>
      <c r="D63" s="501">
        <f t="shared" si="89"/>
        <v>0</v>
      </c>
      <c r="E63" s="1486"/>
      <c r="F63" s="1471"/>
      <c r="G63" s="1471"/>
      <c r="H63" s="1471"/>
      <c r="I63" s="1471"/>
      <c r="J63" s="1471"/>
      <c r="K63" s="1471"/>
      <c r="L63" s="1471"/>
      <c r="M63" s="1471"/>
      <c r="N63" s="1471"/>
      <c r="O63" s="1471"/>
      <c r="P63" s="1472"/>
      <c r="S63" s="255" t="s">
        <v>1</v>
      </c>
      <c r="T63" s="256" t="s">
        <v>77</v>
      </c>
      <c r="U63" s="450">
        <f t="shared" si="93"/>
        <v>0</v>
      </c>
      <c r="V63" s="514">
        <f>E63*'5 Kalan alkukäsittely satamassa'!$D$9</f>
        <v>0</v>
      </c>
      <c r="W63" s="524">
        <f>F63*'5 Kalan alkukäsittely satamassa'!$D$9</f>
        <v>0</v>
      </c>
      <c r="X63" s="524">
        <f>G63*'5 Kalan alkukäsittely satamassa'!$D$9</f>
        <v>0</v>
      </c>
      <c r="Y63" s="524">
        <f>H63*'5 Kalan alkukäsittely satamassa'!$D$9</f>
        <v>0</v>
      </c>
      <c r="Z63" s="524">
        <f>I63*'5 Kalan alkukäsittely satamassa'!$D$9</f>
        <v>0</v>
      </c>
      <c r="AA63" s="524">
        <f>J63*'5 Kalan alkukäsittely satamassa'!$D$9</f>
        <v>0</v>
      </c>
      <c r="AB63" s="524">
        <f>K63*'5 Kalan alkukäsittely satamassa'!$D$9</f>
        <v>0</v>
      </c>
      <c r="AC63" s="524">
        <f>L63*'5 Kalan alkukäsittely satamassa'!$D$9</f>
        <v>0</v>
      </c>
      <c r="AD63" s="524">
        <f>M63*'5 Kalan alkukäsittely satamassa'!$D$9</f>
        <v>0</v>
      </c>
      <c r="AE63" s="524">
        <f>N63*'5 Kalan alkukäsittely satamassa'!$D$9</f>
        <v>0</v>
      </c>
      <c r="AF63" s="524">
        <f>O63*'5 Kalan alkukäsittely satamassa'!$D$9</f>
        <v>0</v>
      </c>
      <c r="AG63" s="525">
        <f>P63*'5 Kalan alkukäsittely satamassa'!$D$9</f>
        <v>0</v>
      </c>
      <c r="AI63" s="57" t="s">
        <v>1</v>
      </c>
      <c r="AJ63" s="59" t="s">
        <v>77</v>
      </c>
      <c r="AK63" s="576">
        <f t="shared" si="94"/>
        <v>0</v>
      </c>
      <c r="AL63" s="1501">
        <v>6.39</v>
      </c>
      <c r="AM63" s="1502">
        <v>6.39</v>
      </c>
      <c r="AN63" s="1502">
        <v>6.39</v>
      </c>
      <c r="AO63" s="1502">
        <v>6.39</v>
      </c>
      <c r="AP63" s="1502">
        <v>6.39</v>
      </c>
      <c r="AQ63" s="1502">
        <v>6.39</v>
      </c>
      <c r="AR63" s="1502">
        <v>6.39</v>
      </c>
      <c r="AS63" s="1502">
        <v>6.39</v>
      </c>
      <c r="AT63" s="1502">
        <v>6.39</v>
      </c>
      <c r="AU63" s="1502">
        <v>6.39</v>
      </c>
      <c r="AV63" s="1502">
        <v>6.39</v>
      </c>
      <c r="AW63" s="1503">
        <v>6.39</v>
      </c>
      <c r="AY63" s="57" t="s">
        <v>1</v>
      </c>
      <c r="AZ63" s="59" t="s">
        <v>77</v>
      </c>
      <c r="BA63" s="501">
        <f t="shared" si="91"/>
        <v>0</v>
      </c>
      <c r="BB63" s="530">
        <f t="shared" si="95"/>
        <v>0</v>
      </c>
      <c r="BC63" s="524">
        <f t="shared" si="92"/>
        <v>0</v>
      </c>
      <c r="BD63" s="524">
        <f t="shared" si="92"/>
        <v>0</v>
      </c>
      <c r="BE63" s="524">
        <f t="shared" si="92"/>
        <v>0</v>
      </c>
      <c r="BF63" s="524">
        <f t="shared" si="92"/>
        <v>0</v>
      </c>
      <c r="BG63" s="524">
        <f t="shared" si="92"/>
        <v>0</v>
      </c>
      <c r="BH63" s="524">
        <f t="shared" si="92"/>
        <v>0</v>
      </c>
      <c r="BI63" s="524">
        <f t="shared" si="92"/>
        <v>0</v>
      </c>
      <c r="BJ63" s="524">
        <f t="shared" si="92"/>
        <v>0</v>
      </c>
      <c r="BK63" s="524">
        <f t="shared" si="92"/>
        <v>0</v>
      </c>
      <c r="BL63" s="524">
        <f t="shared" si="92"/>
        <v>0</v>
      </c>
      <c r="BM63" s="525">
        <f t="shared" si="92"/>
        <v>0</v>
      </c>
      <c r="CK63" s="57" t="s">
        <v>94</v>
      </c>
      <c r="CL63" s="510">
        <f t="shared" si="88"/>
        <v>0</v>
      </c>
      <c r="CM63" s="511">
        <f>CM17*'3 Saalis'!CK63</f>
        <v>0</v>
      </c>
      <c r="CN63" s="438">
        <f>CN17*'3 Saalis'!CL63</f>
        <v>0</v>
      </c>
      <c r="CO63" s="438">
        <f>CO17*'3 Saalis'!CM63</f>
        <v>0</v>
      </c>
      <c r="CP63" s="438">
        <f>CP17*'3 Saalis'!CN63</f>
        <v>0</v>
      </c>
      <c r="CQ63" s="438">
        <f>CQ17*'3 Saalis'!CO63</f>
        <v>0</v>
      </c>
      <c r="CR63" s="438">
        <f>CR17*'3 Saalis'!CP63</f>
        <v>0</v>
      </c>
      <c r="CS63" s="438">
        <f>CS17*'3 Saalis'!CQ63</f>
        <v>0</v>
      </c>
      <c r="CT63" s="438">
        <f>CT17*'3 Saalis'!CR63</f>
        <v>0</v>
      </c>
      <c r="CU63" s="438">
        <f>CU17*'3 Saalis'!CS63</f>
        <v>0</v>
      </c>
      <c r="CV63" s="438">
        <f>CV17*'3 Saalis'!CT63</f>
        <v>0</v>
      </c>
      <c r="CW63" s="438">
        <f>CW17*'3 Saalis'!CU63</f>
        <v>0</v>
      </c>
      <c r="CX63" s="439">
        <f>CX17*'3 Saalis'!CV63</f>
        <v>0</v>
      </c>
    </row>
    <row r="64" spans="2:102" ht="13.5" thickBot="1" x14ac:dyDescent="0.25">
      <c r="B64" s="40"/>
      <c r="C64" s="56" t="s">
        <v>78</v>
      </c>
      <c r="D64" s="502">
        <f t="shared" si="89"/>
        <v>0</v>
      </c>
      <c r="E64" s="1483"/>
      <c r="F64" s="1477"/>
      <c r="G64" s="1477"/>
      <c r="H64" s="1477"/>
      <c r="I64" s="1477"/>
      <c r="J64" s="1477"/>
      <c r="K64" s="1477"/>
      <c r="L64" s="1477"/>
      <c r="M64" s="1477"/>
      <c r="N64" s="1477"/>
      <c r="O64" s="1477"/>
      <c r="P64" s="1478"/>
      <c r="S64" s="258"/>
      <c r="T64" s="259" t="s">
        <v>78</v>
      </c>
      <c r="U64" s="417">
        <f t="shared" si="93"/>
        <v>0</v>
      </c>
      <c r="V64" s="518">
        <f>E64*'5 Kalan alkukäsittely satamassa'!$F$9</f>
        <v>0</v>
      </c>
      <c r="W64" s="518">
        <f>F64*'5 Kalan alkukäsittely satamassa'!$F$9</f>
        <v>0</v>
      </c>
      <c r="X64" s="518">
        <f>G64*'5 Kalan alkukäsittely satamassa'!$F$9</f>
        <v>0</v>
      </c>
      <c r="Y64" s="518">
        <f>H64*'5 Kalan alkukäsittely satamassa'!$F$9</f>
        <v>0</v>
      </c>
      <c r="Z64" s="518">
        <f>I64*'5 Kalan alkukäsittely satamassa'!$F$9</f>
        <v>0</v>
      </c>
      <c r="AA64" s="518">
        <f>J64*'5 Kalan alkukäsittely satamassa'!$F$9</f>
        <v>0</v>
      </c>
      <c r="AB64" s="518">
        <f>K64*'5 Kalan alkukäsittely satamassa'!$F$9</f>
        <v>0</v>
      </c>
      <c r="AC64" s="518">
        <f>L64*'5 Kalan alkukäsittely satamassa'!$F$9</f>
        <v>0</v>
      </c>
      <c r="AD64" s="518">
        <f>M64*'5 Kalan alkukäsittely satamassa'!$F$9</f>
        <v>0</v>
      </c>
      <c r="AE64" s="518">
        <f>N64*'5 Kalan alkukäsittely satamassa'!$F$9</f>
        <v>0</v>
      </c>
      <c r="AF64" s="518">
        <f>O64*'5 Kalan alkukäsittely satamassa'!$F$9</f>
        <v>0</v>
      </c>
      <c r="AG64" s="543">
        <f>P64*'5 Kalan alkukäsittely satamassa'!$F$9</f>
        <v>0</v>
      </c>
      <c r="AI64" s="40"/>
      <c r="AJ64" s="56" t="s">
        <v>78</v>
      </c>
      <c r="AK64" s="588">
        <f t="shared" si="94"/>
        <v>0</v>
      </c>
      <c r="AL64" s="1504">
        <v>15</v>
      </c>
      <c r="AM64" s="1505">
        <v>15</v>
      </c>
      <c r="AN64" s="1505">
        <v>15</v>
      </c>
      <c r="AO64" s="1505">
        <v>15</v>
      </c>
      <c r="AP64" s="1505">
        <v>15</v>
      </c>
      <c r="AQ64" s="1505">
        <v>15</v>
      </c>
      <c r="AR64" s="1505">
        <v>15</v>
      </c>
      <c r="AS64" s="1505">
        <v>15</v>
      </c>
      <c r="AT64" s="1505">
        <v>15</v>
      </c>
      <c r="AU64" s="1505">
        <v>15</v>
      </c>
      <c r="AV64" s="1505">
        <v>15</v>
      </c>
      <c r="AW64" s="1506">
        <v>15</v>
      </c>
      <c r="AY64" s="40"/>
      <c r="AZ64" s="56" t="s">
        <v>78</v>
      </c>
      <c r="BA64" s="502">
        <f t="shared" si="91"/>
        <v>0</v>
      </c>
      <c r="BB64" s="515">
        <f t="shared" si="95"/>
        <v>0</v>
      </c>
      <c r="BC64" s="531">
        <f t="shared" si="92"/>
        <v>0</v>
      </c>
      <c r="BD64" s="531">
        <f t="shared" si="92"/>
        <v>0</v>
      </c>
      <c r="BE64" s="531">
        <f t="shared" si="92"/>
        <v>0</v>
      </c>
      <c r="BF64" s="531">
        <f t="shared" si="92"/>
        <v>0</v>
      </c>
      <c r="BG64" s="531">
        <f t="shared" si="92"/>
        <v>0</v>
      </c>
      <c r="BH64" s="531">
        <f t="shared" si="92"/>
        <v>0</v>
      </c>
      <c r="BI64" s="531">
        <f t="shared" si="92"/>
        <v>0</v>
      </c>
      <c r="BJ64" s="531">
        <f t="shared" si="92"/>
        <v>0</v>
      </c>
      <c r="BK64" s="531">
        <f t="shared" si="92"/>
        <v>0</v>
      </c>
      <c r="BL64" s="531">
        <f t="shared" si="92"/>
        <v>0</v>
      </c>
      <c r="BM64" s="532">
        <f t="shared" si="92"/>
        <v>0</v>
      </c>
      <c r="CK64" s="40" t="s">
        <v>93</v>
      </c>
      <c r="CL64" s="593">
        <f t="shared" si="88"/>
        <v>0</v>
      </c>
      <c r="CM64" s="513">
        <f>CM18*'3 Saalis'!CK64</f>
        <v>0</v>
      </c>
      <c r="CN64" s="485">
        <f>CN18*'3 Saalis'!CL64</f>
        <v>0</v>
      </c>
      <c r="CO64" s="485">
        <f>CO18*'3 Saalis'!CM64</f>
        <v>0</v>
      </c>
      <c r="CP64" s="485">
        <f>CP18*'3 Saalis'!CN64</f>
        <v>0</v>
      </c>
      <c r="CQ64" s="485">
        <f>CQ18*'3 Saalis'!CO64</f>
        <v>0</v>
      </c>
      <c r="CR64" s="485">
        <f>CR18*'3 Saalis'!CP64</f>
        <v>0</v>
      </c>
      <c r="CS64" s="485">
        <f>CS18*'3 Saalis'!CQ64</f>
        <v>0</v>
      </c>
      <c r="CT64" s="485">
        <f>CT18*'3 Saalis'!CR64</f>
        <v>0</v>
      </c>
      <c r="CU64" s="485">
        <f>CU18*'3 Saalis'!CS64</f>
        <v>0</v>
      </c>
      <c r="CV64" s="485">
        <f>CV18*'3 Saalis'!CT64</f>
        <v>0</v>
      </c>
      <c r="CW64" s="485">
        <f>CW18*'3 Saalis'!CU64</f>
        <v>0</v>
      </c>
      <c r="CX64" s="486">
        <f>CX18*'3 Saalis'!CV64</f>
        <v>0</v>
      </c>
    </row>
    <row r="65" spans="2:102" ht="13.5" thickBot="1" x14ac:dyDescent="0.25">
      <c r="B65" s="40" t="s">
        <v>80</v>
      </c>
      <c r="C65" s="1485"/>
      <c r="D65" s="452">
        <f t="shared" si="89"/>
        <v>0</v>
      </c>
      <c r="E65" s="1490"/>
      <c r="F65" s="1491"/>
      <c r="G65" s="1491"/>
      <c r="H65" s="1491"/>
      <c r="I65" s="1491"/>
      <c r="J65" s="1491"/>
      <c r="K65" s="1491"/>
      <c r="L65" s="1491"/>
      <c r="M65" s="1491"/>
      <c r="N65" s="1491"/>
      <c r="O65" s="1491"/>
      <c r="P65" s="1492"/>
      <c r="S65" s="258" t="s">
        <v>80</v>
      </c>
      <c r="T65" s="1133">
        <f>C65</f>
        <v>0</v>
      </c>
      <c r="U65" s="449">
        <f t="shared" si="93"/>
        <v>0</v>
      </c>
      <c r="V65" s="522">
        <f t="shared" ref="V65:AG65" si="97">E65</f>
        <v>0</v>
      </c>
      <c r="W65" s="526">
        <f>F65</f>
        <v>0</v>
      </c>
      <c r="X65" s="526">
        <f t="shared" si="97"/>
        <v>0</v>
      </c>
      <c r="Y65" s="526">
        <f t="shared" si="97"/>
        <v>0</v>
      </c>
      <c r="Z65" s="526">
        <f t="shared" si="97"/>
        <v>0</v>
      </c>
      <c r="AA65" s="526">
        <f t="shared" si="97"/>
        <v>0</v>
      </c>
      <c r="AB65" s="526">
        <f t="shared" si="97"/>
        <v>0</v>
      </c>
      <c r="AC65" s="526">
        <f t="shared" si="97"/>
        <v>0</v>
      </c>
      <c r="AD65" s="526">
        <f t="shared" si="97"/>
        <v>0</v>
      </c>
      <c r="AE65" s="526">
        <f t="shared" si="97"/>
        <v>0</v>
      </c>
      <c r="AF65" s="526">
        <f t="shared" si="97"/>
        <v>0</v>
      </c>
      <c r="AG65" s="539">
        <f t="shared" si="97"/>
        <v>0</v>
      </c>
      <c r="AI65" s="40" t="s">
        <v>80</v>
      </c>
      <c r="AJ65" s="1133">
        <f>T65</f>
        <v>0</v>
      </c>
      <c r="AK65" s="576">
        <f t="shared" si="94"/>
        <v>0</v>
      </c>
      <c r="AL65" s="1516"/>
      <c r="AM65" s="1517"/>
      <c r="AN65" s="1517"/>
      <c r="AO65" s="1517"/>
      <c r="AP65" s="1517"/>
      <c r="AQ65" s="1517"/>
      <c r="AR65" s="1517"/>
      <c r="AS65" s="1517"/>
      <c r="AT65" s="1517"/>
      <c r="AU65" s="1517"/>
      <c r="AV65" s="1517"/>
      <c r="AW65" s="1518"/>
      <c r="AY65" s="8" t="s">
        <v>80</v>
      </c>
      <c r="AZ65" s="1133">
        <f>AJ65</f>
        <v>0</v>
      </c>
      <c r="BA65" s="494">
        <f>SUM(BB65:BM65)</f>
        <v>0</v>
      </c>
      <c r="BB65" s="522">
        <f t="shared" si="95"/>
        <v>0</v>
      </c>
      <c r="BC65" s="517">
        <f t="shared" si="92"/>
        <v>0</v>
      </c>
      <c r="BD65" s="517">
        <f t="shared" si="92"/>
        <v>0</v>
      </c>
      <c r="BE65" s="517">
        <f t="shared" si="92"/>
        <v>0</v>
      </c>
      <c r="BF65" s="517">
        <f t="shared" si="92"/>
        <v>0</v>
      </c>
      <c r="BG65" s="517">
        <f t="shared" si="92"/>
        <v>0</v>
      </c>
      <c r="BH65" s="517">
        <f t="shared" si="92"/>
        <v>0</v>
      </c>
      <c r="BI65" s="517">
        <f t="shared" si="92"/>
        <v>0</v>
      </c>
      <c r="BJ65" s="517">
        <f t="shared" si="92"/>
        <v>0</v>
      </c>
      <c r="BK65" s="517">
        <f t="shared" si="92"/>
        <v>0</v>
      </c>
      <c r="BL65" s="517">
        <f t="shared" si="92"/>
        <v>0</v>
      </c>
      <c r="BM65" s="539">
        <f t="shared" si="92"/>
        <v>0</v>
      </c>
      <c r="CK65" s="8" t="s">
        <v>107</v>
      </c>
      <c r="CL65" s="423">
        <f t="shared" ref="CL65:CV65" si="98">SUM(CL53:CL64)</f>
        <v>0</v>
      </c>
      <c r="CM65" s="503">
        <f t="shared" si="98"/>
        <v>0</v>
      </c>
      <c r="CN65" s="453">
        <f t="shared" si="98"/>
        <v>0</v>
      </c>
      <c r="CO65" s="453">
        <f t="shared" si="98"/>
        <v>0</v>
      </c>
      <c r="CP65" s="453">
        <f t="shared" si="98"/>
        <v>0</v>
      </c>
      <c r="CQ65" s="453">
        <f t="shared" si="98"/>
        <v>0</v>
      </c>
      <c r="CR65" s="453">
        <f t="shared" si="98"/>
        <v>0</v>
      </c>
      <c r="CS65" s="453">
        <f t="shared" si="98"/>
        <v>0</v>
      </c>
      <c r="CT65" s="453">
        <f t="shared" si="98"/>
        <v>0</v>
      </c>
      <c r="CU65" s="453">
        <f t="shared" si="98"/>
        <v>0</v>
      </c>
      <c r="CV65" s="453">
        <f t="shared" si="98"/>
        <v>0</v>
      </c>
      <c r="CW65" s="453">
        <f>SUM(CW53:CW64)</f>
        <v>0</v>
      </c>
      <c r="CX65" s="454">
        <f>SUM(CX53:CX64)</f>
        <v>0</v>
      </c>
    </row>
    <row r="66" spans="2:102" ht="13.5" thickBot="1" x14ac:dyDescent="0.25">
      <c r="B66" s="8" t="s">
        <v>72</v>
      </c>
      <c r="C66" s="10"/>
      <c r="D66" s="416">
        <f>D58-SUM(D59:D65)</f>
        <v>0</v>
      </c>
      <c r="E66" s="495">
        <f>E58-SUM(E59:E65)</f>
        <v>0</v>
      </c>
      <c r="F66" s="496">
        <f>F58-SUM(F59:F65)</f>
        <v>0</v>
      </c>
      <c r="G66" s="496">
        <f t="shared" ref="G66:O66" si="99">G58-SUM(G59:G65)</f>
        <v>0</v>
      </c>
      <c r="H66" s="496">
        <f t="shared" si="99"/>
        <v>0</v>
      </c>
      <c r="I66" s="496">
        <f>I58-SUM(I59:I65)</f>
        <v>0</v>
      </c>
      <c r="J66" s="496">
        <f t="shared" si="99"/>
        <v>0</v>
      </c>
      <c r="K66" s="496">
        <f t="shared" si="99"/>
        <v>0</v>
      </c>
      <c r="L66" s="496">
        <f t="shared" si="99"/>
        <v>0</v>
      </c>
      <c r="M66" s="496">
        <f t="shared" si="99"/>
        <v>0</v>
      </c>
      <c r="N66" s="496">
        <f t="shared" si="99"/>
        <v>0</v>
      </c>
      <c r="O66" s="496">
        <f t="shared" si="99"/>
        <v>0</v>
      </c>
      <c r="P66" s="497">
        <f>P58-SUM(P59:P65)</f>
        <v>0</v>
      </c>
      <c r="S66" s="258" t="s">
        <v>113</v>
      </c>
      <c r="T66" s="265"/>
      <c r="U66" s="416">
        <f>SUM(U59:U65)</f>
        <v>0</v>
      </c>
      <c r="V66" s="517">
        <f>SUM(V59:V65)</f>
        <v>0</v>
      </c>
      <c r="W66" s="517">
        <f t="shared" ref="W66:AG66" si="100">SUM(W59:W65)</f>
        <v>0</v>
      </c>
      <c r="X66" s="517">
        <f t="shared" si="100"/>
        <v>0</v>
      </c>
      <c r="Y66" s="517">
        <f>SUM(Y59:Y65)</f>
        <v>0</v>
      </c>
      <c r="Z66" s="517">
        <f t="shared" si="100"/>
        <v>0</v>
      </c>
      <c r="AA66" s="517">
        <f t="shared" si="100"/>
        <v>0</v>
      </c>
      <c r="AB66" s="517">
        <f t="shared" si="100"/>
        <v>0</v>
      </c>
      <c r="AC66" s="517">
        <f t="shared" si="100"/>
        <v>0</v>
      </c>
      <c r="AD66" s="517">
        <f t="shared" si="100"/>
        <v>0</v>
      </c>
      <c r="AE66" s="517">
        <f t="shared" si="100"/>
        <v>0</v>
      </c>
      <c r="AF66" s="517">
        <f t="shared" si="100"/>
        <v>0</v>
      </c>
      <c r="AG66" s="539">
        <f t="shared" si="100"/>
        <v>0</v>
      </c>
      <c r="AI66" s="40" t="s">
        <v>99</v>
      </c>
      <c r="AJ66" s="10"/>
      <c r="AK66" s="586">
        <f>IF(BA58=0,0,BA66/BA58)</f>
        <v>0</v>
      </c>
      <c r="AL66" s="580">
        <f>IF(BB58=0,0,BB66/BB58)</f>
        <v>0</v>
      </c>
      <c r="AM66" s="581">
        <f>IF(BC58=0,0,BC66/BC58)</f>
        <v>0</v>
      </c>
      <c r="AN66" s="581">
        <f t="shared" ref="AN66:AW66" si="101">IF(BD58=0,0,BD66/BD58)</f>
        <v>0</v>
      </c>
      <c r="AO66" s="581">
        <f t="shared" si="101"/>
        <v>0</v>
      </c>
      <c r="AP66" s="581">
        <f t="shared" si="101"/>
        <v>0</v>
      </c>
      <c r="AQ66" s="581">
        <f t="shared" si="101"/>
        <v>0</v>
      </c>
      <c r="AR66" s="581">
        <f t="shared" si="101"/>
        <v>0</v>
      </c>
      <c r="AS66" s="581">
        <f t="shared" si="101"/>
        <v>0</v>
      </c>
      <c r="AT66" s="581">
        <f t="shared" si="101"/>
        <v>0</v>
      </c>
      <c r="AU66" s="581">
        <f t="shared" si="101"/>
        <v>0</v>
      </c>
      <c r="AV66" s="581">
        <f t="shared" si="101"/>
        <v>0</v>
      </c>
      <c r="AW66" s="582">
        <f t="shared" si="101"/>
        <v>0</v>
      </c>
      <c r="AY66" s="40" t="s">
        <v>98</v>
      </c>
      <c r="AZ66" s="10"/>
      <c r="BA66" s="416">
        <f>SUM(BA59:BA65)</f>
        <v>0</v>
      </c>
      <c r="BB66" s="548">
        <f>SUM(BB59:BB65)</f>
        <v>0</v>
      </c>
      <c r="BC66" s="553">
        <f t="shared" ref="BC66:BM66" si="102">SUM(BC59:BC65)</f>
        <v>0</v>
      </c>
      <c r="BD66" s="553">
        <f t="shared" si="102"/>
        <v>0</v>
      </c>
      <c r="BE66" s="553">
        <f t="shared" si="102"/>
        <v>0</v>
      </c>
      <c r="BF66" s="553">
        <f t="shared" si="102"/>
        <v>0</v>
      </c>
      <c r="BG66" s="553">
        <f t="shared" si="102"/>
        <v>0</v>
      </c>
      <c r="BH66" s="553">
        <f t="shared" si="102"/>
        <v>0</v>
      </c>
      <c r="BI66" s="553">
        <f t="shared" si="102"/>
        <v>0</v>
      </c>
      <c r="BJ66" s="553">
        <f t="shared" si="102"/>
        <v>0</v>
      </c>
      <c r="BK66" s="553">
        <f t="shared" si="102"/>
        <v>0</v>
      </c>
      <c r="BL66" s="553">
        <f t="shared" si="102"/>
        <v>0</v>
      </c>
      <c r="BM66" s="554">
        <f t="shared" si="102"/>
        <v>0</v>
      </c>
    </row>
    <row r="67" spans="2:102" ht="13.5" thickBot="1" x14ac:dyDescent="0.25">
      <c r="E67" s="794" t="str">
        <f t="shared" ref="E67:P67" si="103">IF(E66&lt;0,"Ylimyynti!!!"," ")</f>
        <v xml:space="preserve"> </v>
      </c>
      <c r="F67" s="794" t="str">
        <f>IF(F66&lt;0,"Ylimyynti!!!"," ")</f>
        <v xml:space="preserve"> </v>
      </c>
      <c r="G67" s="794" t="str">
        <f t="shared" si="103"/>
        <v xml:space="preserve"> </v>
      </c>
      <c r="H67" s="794" t="str">
        <f t="shared" si="103"/>
        <v xml:space="preserve"> </v>
      </c>
      <c r="I67" s="794" t="str">
        <f t="shared" si="103"/>
        <v xml:space="preserve"> </v>
      </c>
      <c r="J67" s="794" t="str">
        <f t="shared" si="103"/>
        <v xml:space="preserve"> </v>
      </c>
      <c r="K67" s="794" t="str">
        <f t="shared" si="103"/>
        <v xml:space="preserve"> </v>
      </c>
      <c r="L67" s="794" t="str">
        <f t="shared" si="103"/>
        <v xml:space="preserve"> </v>
      </c>
      <c r="M67" s="794" t="str">
        <f t="shared" si="103"/>
        <v xml:space="preserve"> </v>
      </c>
      <c r="N67" s="794" t="str">
        <f t="shared" si="103"/>
        <v xml:space="preserve"> </v>
      </c>
      <c r="O67" s="794" t="str">
        <f t="shared" si="103"/>
        <v xml:space="preserve"> </v>
      </c>
      <c r="P67" s="794" t="str">
        <f t="shared" si="103"/>
        <v xml:space="preserve"> </v>
      </c>
    </row>
    <row r="68" spans="2:102" ht="24" thickBot="1" x14ac:dyDescent="0.4">
      <c r="B68" s="5" t="s">
        <v>81</v>
      </c>
      <c r="C68" s="36"/>
      <c r="D68" s="249" t="s">
        <v>40</v>
      </c>
      <c r="E68" s="245"/>
      <c r="F68" s="246"/>
      <c r="G68" s="246"/>
      <c r="H68" s="246"/>
      <c r="I68" s="246"/>
      <c r="J68" s="219" t="s">
        <v>42</v>
      </c>
      <c r="K68" s="246"/>
      <c r="L68" s="246"/>
      <c r="M68" s="246"/>
      <c r="N68" s="246"/>
      <c r="O68" s="246"/>
      <c r="P68" s="247"/>
      <c r="Q68" s="250"/>
      <c r="S68" s="251" t="s">
        <v>81</v>
      </c>
      <c r="T68" s="252"/>
      <c r="U68" s="249" t="s">
        <v>40</v>
      </c>
      <c r="V68" s="245"/>
      <c r="W68" s="246"/>
      <c r="X68" s="246"/>
      <c r="Y68" s="246"/>
      <c r="Z68" s="246"/>
      <c r="AA68" s="219" t="s">
        <v>42</v>
      </c>
      <c r="AB68" s="246"/>
      <c r="AC68" s="246"/>
      <c r="AD68" s="246"/>
      <c r="AE68" s="246"/>
      <c r="AF68" s="246"/>
      <c r="AG68" s="247"/>
      <c r="AI68" s="5" t="s">
        <v>81</v>
      </c>
      <c r="AJ68" s="36"/>
      <c r="AK68" s="51" t="s">
        <v>40</v>
      </c>
      <c r="AL68" s="47"/>
      <c r="AM68" s="48"/>
      <c r="AN68" s="48"/>
      <c r="AO68" s="48"/>
      <c r="AP68" s="48"/>
      <c r="AQ68" s="41" t="s">
        <v>42</v>
      </c>
      <c r="AR68" s="48"/>
      <c r="AS68" s="48"/>
      <c r="AT68" s="48"/>
      <c r="AU68" s="48"/>
      <c r="AV68" s="48"/>
      <c r="AW68" s="49"/>
      <c r="AY68" s="5" t="s">
        <v>81</v>
      </c>
      <c r="AZ68" s="36"/>
      <c r="BA68" s="249" t="s">
        <v>40</v>
      </c>
      <c r="BB68" s="245"/>
      <c r="BC68" s="246"/>
      <c r="BD68" s="246"/>
      <c r="BE68" s="246"/>
      <c r="BF68" s="246"/>
      <c r="BG68" s="219" t="s">
        <v>42</v>
      </c>
      <c r="BH68" s="246"/>
      <c r="BI68" s="246"/>
      <c r="BJ68" s="246"/>
      <c r="BK68" s="246"/>
      <c r="BL68" s="246"/>
      <c r="BM68" s="247"/>
      <c r="CK68" s="735" t="str">
        <f>'3 Saalis'!T111</f>
        <v>Isorysä1</v>
      </c>
      <c r="CL68" s="736"/>
      <c r="CM68" s="377"/>
      <c r="CN68" s="736"/>
      <c r="CO68" s="377"/>
      <c r="CP68" s="377"/>
      <c r="CQ68" s="377"/>
      <c r="CR68" s="734"/>
    </row>
    <row r="69" spans="2:102" ht="13.5" thickBot="1" x14ac:dyDescent="0.25">
      <c r="B69" s="57"/>
      <c r="C69" s="59"/>
      <c r="D69" s="253" t="s">
        <v>41</v>
      </c>
      <c r="E69" s="254">
        <v>1</v>
      </c>
      <c r="F69" s="70">
        <v>2</v>
      </c>
      <c r="G69" s="70">
        <v>3</v>
      </c>
      <c r="H69" s="70">
        <v>4</v>
      </c>
      <c r="I69" s="70">
        <v>5</v>
      </c>
      <c r="J69" s="70">
        <v>6</v>
      </c>
      <c r="K69" s="70">
        <v>7</v>
      </c>
      <c r="L69" s="70">
        <v>8</v>
      </c>
      <c r="M69" s="70">
        <v>9</v>
      </c>
      <c r="N69" s="70">
        <v>10</v>
      </c>
      <c r="O69" s="70">
        <v>11</v>
      </c>
      <c r="P69" s="71">
        <v>12</v>
      </c>
      <c r="Q69" s="87"/>
      <c r="S69" s="255"/>
      <c r="T69" s="256"/>
      <c r="U69" s="253" t="s">
        <v>41</v>
      </c>
      <c r="V69" s="254">
        <v>1</v>
      </c>
      <c r="W69" s="70">
        <v>2</v>
      </c>
      <c r="X69" s="70">
        <v>3</v>
      </c>
      <c r="Y69" s="70">
        <v>4</v>
      </c>
      <c r="Z69" s="70">
        <v>5</v>
      </c>
      <c r="AA69" s="70">
        <v>6</v>
      </c>
      <c r="AB69" s="70">
        <v>7</v>
      </c>
      <c r="AC69" s="70">
        <v>8</v>
      </c>
      <c r="AD69" s="70">
        <v>9</v>
      </c>
      <c r="AE69" s="70">
        <v>10</v>
      </c>
      <c r="AF69" s="70">
        <v>11</v>
      </c>
      <c r="AG69" s="71">
        <v>12</v>
      </c>
      <c r="AI69" s="57"/>
      <c r="AJ69" s="59"/>
      <c r="AK69" s="69" t="s">
        <v>41</v>
      </c>
      <c r="AL69" s="72">
        <v>1</v>
      </c>
      <c r="AM69" s="70">
        <v>2</v>
      </c>
      <c r="AN69" s="70">
        <v>3</v>
      </c>
      <c r="AO69" s="70">
        <v>4</v>
      </c>
      <c r="AP69" s="70">
        <v>5</v>
      </c>
      <c r="AQ69" s="70">
        <v>6</v>
      </c>
      <c r="AR69" s="70">
        <v>7</v>
      </c>
      <c r="AS69" s="70">
        <v>8</v>
      </c>
      <c r="AT69" s="70">
        <v>9</v>
      </c>
      <c r="AU69" s="70">
        <v>10</v>
      </c>
      <c r="AV69" s="70">
        <v>11</v>
      </c>
      <c r="AW69" s="71">
        <v>12</v>
      </c>
      <c r="AY69" s="57"/>
      <c r="AZ69" s="59"/>
      <c r="BA69" s="253" t="s">
        <v>41</v>
      </c>
      <c r="BB69" s="254">
        <v>1</v>
      </c>
      <c r="BC69" s="70">
        <v>2</v>
      </c>
      <c r="BD69" s="70">
        <v>3</v>
      </c>
      <c r="BE69" s="70">
        <v>4</v>
      </c>
      <c r="BF69" s="70">
        <v>5</v>
      </c>
      <c r="BG69" s="70">
        <v>6</v>
      </c>
      <c r="BH69" s="70">
        <v>7</v>
      </c>
      <c r="BI69" s="70">
        <v>8</v>
      </c>
      <c r="BJ69" s="70">
        <v>9</v>
      </c>
      <c r="BK69" s="70">
        <v>10</v>
      </c>
      <c r="BL69" s="70">
        <v>11</v>
      </c>
      <c r="BM69" s="71">
        <v>12</v>
      </c>
    </row>
    <row r="70" spans="2:102" ht="18" customHeight="1" thickBot="1" x14ac:dyDescent="0.4">
      <c r="B70" s="8" t="s">
        <v>73</v>
      </c>
      <c r="C70" s="58"/>
      <c r="D70" s="423">
        <f>'3 Saalis'!D12</f>
        <v>0</v>
      </c>
      <c r="E70" s="503">
        <f>'3 Saalis'!E12</f>
        <v>0</v>
      </c>
      <c r="F70" s="453">
        <f>'3 Saalis'!F12</f>
        <v>0</v>
      </c>
      <c r="G70" s="453">
        <f>'3 Saalis'!G12</f>
        <v>0</v>
      </c>
      <c r="H70" s="453">
        <f>'3 Saalis'!H12</f>
        <v>0</v>
      </c>
      <c r="I70" s="453">
        <f>'3 Saalis'!I12</f>
        <v>0</v>
      </c>
      <c r="J70" s="453">
        <f>'3 Saalis'!J12</f>
        <v>0</v>
      </c>
      <c r="K70" s="453">
        <f>'3 Saalis'!K12</f>
        <v>0</v>
      </c>
      <c r="L70" s="453">
        <f>'3 Saalis'!L12</f>
        <v>0</v>
      </c>
      <c r="M70" s="453">
        <f>'3 Saalis'!M12</f>
        <v>0</v>
      </c>
      <c r="N70" s="453">
        <f>'3 Saalis'!N12</f>
        <v>0</v>
      </c>
      <c r="O70" s="453">
        <f>'3 Saalis'!O12</f>
        <v>0</v>
      </c>
      <c r="P70" s="454">
        <f>'3 Saalis'!P12</f>
        <v>0</v>
      </c>
      <c r="Q70" s="257"/>
      <c r="S70" s="260" t="s">
        <v>73</v>
      </c>
      <c r="T70" s="261"/>
      <c r="U70" s="443">
        <f t="shared" ref="U70:AG70" si="104">D70</f>
        <v>0</v>
      </c>
      <c r="V70" s="528">
        <f t="shared" si="104"/>
        <v>0</v>
      </c>
      <c r="W70" s="488">
        <f t="shared" si="104"/>
        <v>0</v>
      </c>
      <c r="X70" s="488">
        <f t="shared" si="104"/>
        <v>0</v>
      </c>
      <c r="Y70" s="488">
        <f t="shared" si="104"/>
        <v>0</v>
      </c>
      <c r="Z70" s="488">
        <f t="shared" si="104"/>
        <v>0</v>
      </c>
      <c r="AA70" s="488">
        <f t="shared" si="104"/>
        <v>0</v>
      </c>
      <c r="AB70" s="488">
        <f t="shared" si="104"/>
        <v>0</v>
      </c>
      <c r="AC70" s="488">
        <f t="shared" si="104"/>
        <v>0</v>
      </c>
      <c r="AD70" s="488">
        <f t="shared" si="104"/>
        <v>0</v>
      </c>
      <c r="AE70" s="488">
        <f t="shared" si="104"/>
        <v>0</v>
      </c>
      <c r="AF70" s="488">
        <f t="shared" si="104"/>
        <v>0</v>
      </c>
      <c r="AG70" s="489">
        <f t="shared" si="104"/>
        <v>0</v>
      </c>
      <c r="AI70" s="8" t="s">
        <v>73</v>
      </c>
      <c r="AJ70" s="58"/>
      <c r="AK70" s="424">
        <f>D70</f>
        <v>0</v>
      </c>
      <c r="AL70" s="572">
        <f t="shared" ref="AL70:AW70" si="105">E70</f>
        <v>0</v>
      </c>
      <c r="AM70" s="572">
        <f t="shared" si="105"/>
        <v>0</v>
      </c>
      <c r="AN70" s="572">
        <f t="shared" si="105"/>
        <v>0</v>
      </c>
      <c r="AO70" s="572">
        <f t="shared" si="105"/>
        <v>0</v>
      </c>
      <c r="AP70" s="572">
        <f t="shared" si="105"/>
        <v>0</v>
      </c>
      <c r="AQ70" s="572">
        <f t="shared" si="105"/>
        <v>0</v>
      </c>
      <c r="AR70" s="572">
        <f t="shared" si="105"/>
        <v>0</v>
      </c>
      <c r="AS70" s="572">
        <f t="shared" si="105"/>
        <v>0</v>
      </c>
      <c r="AT70" s="572">
        <f t="shared" si="105"/>
        <v>0</v>
      </c>
      <c r="AU70" s="572">
        <f t="shared" si="105"/>
        <v>0</v>
      </c>
      <c r="AV70" s="572">
        <f t="shared" si="105"/>
        <v>0</v>
      </c>
      <c r="AW70" s="1135">
        <f t="shared" si="105"/>
        <v>0</v>
      </c>
      <c r="AY70" s="8" t="s">
        <v>73</v>
      </c>
      <c r="AZ70" s="58"/>
      <c r="BA70" s="423">
        <f t="shared" ref="BA70:BM70" si="106">AK70</f>
        <v>0</v>
      </c>
      <c r="BB70" s="488">
        <f t="shared" si="106"/>
        <v>0</v>
      </c>
      <c r="BC70" s="488">
        <f t="shared" si="106"/>
        <v>0</v>
      </c>
      <c r="BD70" s="488">
        <f t="shared" si="106"/>
        <v>0</v>
      </c>
      <c r="BE70" s="488">
        <f t="shared" si="106"/>
        <v>0</v>
      </c>
      <c r="BF70" s="488">
        <f t="shared" si="106"/>
        <v>0</v>
      </c>
      <c r="BG70" s="488">
        <f t="shared" si="106"/>
        <v>0</v>
      </c>
      <c r="BH70" s="488">
        <f t="shared" si="106"/>
        <v>0</v>
      </c>
      <c r="BI70" s="488">
        <f t="shared" si="106"/>
        <v>0</v>
      </c>
      <c r="BJ70" s="488">
        <f t="shared" si="106"/>
        <v>0</v>
      </c>
      <c r="BK70" s="488">
        <f t="shared" si="106"/>
        <v>0</v>
      </c>
      <c r="BL70" s="488">
        <f t="shared" si="106"/>
        <v>0</v>
      </c>
      <c r="BM70" s="454">
        <f t="shared" si="106"/>
        <v>0</v>
      </c>
      <c r="CK70" s="30" t="s">
        <v>39</v>
      </c>
      <c r="CL70" s="455">
        <f>'3 Saalis'!CJ69</f>
        <v>0</v>
      </c>
      <c r="CM70" s="8" t="s">
        <v>15</v>
      </c>
      <c r="CN70" s="41"/>
      <c r="CO70" s="42"/>
      <c r="CP70" s="8" t="s">
        <v>5</v>
      </c>
      <c r="CQ70" s="38"/>
      <c r="CR70" s="18"/>
      <c r="CS70" s="18"/>
      <c r="CT70" s="18"/>
      <c r="CU70" s="10"/>
      <c r="CW70" s="34"/>
    </row>
    <row r="71" spans="2:102" ht="13.5" thickBot="1" x14ac:dyDescent="0.25">
      <c r="B71" s="57" t="s">
        <v>64</v>
      </c>
      <c r="C71" s="74" t="s">
        <v>373</v>
      </c>
      <c r="D71" s="452">
        <f t="shared" ref="D71:D78" si="107">SUM(E71:P71)</f>
        <v>0</v>
      </c>
      <c r="E71" s="1487"/>
      <c r="F71" s="1488"/>
      <c r="G71" s="1488"/>
      <c r="H71" s="1488"/>
      <c r="I71" s="1488"/>
      <c r="J71" s="1488"/>
      <c r="K71" s="1488"/>
      <c r="L71" s="1488"/>
      <c r="M71" s="1488"/>
      <c r="N71" s="1488"/>
      <c r="O71" s="1488"/>
      <c r="P71" s="1489"/>
      <c r="S71" s="255" t="s">
        <v>64</v>
      </c>
      <c r="T71" s="74" t="s">
        <v>373</v>
      </c>
      <c r="U71" s="452">
        <f>SUM(V71:AG71)</f>
        <v>0</v>
      </c>
      <c r="V71" s="519">
        <f t="shared" ref="V71:AG71" si="108">E71</f>
        <v>0</v>
      </c>
      <c r="W71" s="500">
        <f t="shared" si="108"/>
        <v>0</v>
      </c>
      <c r="X71" s="500">
        <f t="shared" si="108"/>
        <v>0</v>
      </c>
      <c r="Y71" s="500">
        <f t="shared" si="108"/>
        <v>0</v>
      </c>
      <c r="Z71" s="500">
        <f t="shared" si="108"/>
        <v>0</v>
      </c>
      <c r="AA71" s="500">
        <f t="shared" si="108"/>
        <v>0</v>
      </c>
      <c r="AB71" s="500">
        <f t="shared" si="108"/>
        <v>0</v>
      </c>
      <c r="AC71" s="500">
        <f t="shared" si="108"/>
        <v>0</v>
      </c>
      <c r="AD71" s="500">
        <f t="shared" si="108"/>
        <v>0</v>
      </c>
      <c r="AE71" s="500">
        <f t="shared" si="108"/>
        <v>0</v>
      </c>
      <c r="AF71" s="500">
        <f t="shared" si="108"/>
        <v>0</v>
      </c>
      <c r="AG71" s="529">
        <f t="shared" si="108"/>
        <v>0</v>
      </c>
      <c r="AI71" s="57" t="s">
        <v>64</v>
      </c>
      <c r="AJ71" s="74" t="s">
        <v>373</v>
      </c>
      <c r="AK71" s="576">
        <f t="shared" ref="AK71:AK78" si="109">IF(D71=0,0,BA71/D71)</f>
        <v>0</v>
      </c>
      <c r="AL71" s="1496">
        <v>2.7</v>
      </c>
      <c r="AM71" s="1511">
        <v>2.58</v>
      </c>
      <c r="AN71" s="1511">
        <v>2.67</v>
      </c>
      <c r="AO71" s="1511">
        <v>1.6</v>
      </c>
      <c r="AP71" s="1511">
        <v>1.27</v>
      </c>
      <c r="AQ71" s="1511">
        <v>2.14</v>
      </c>
      <c r="AR71" s="1511">
        <v>2.97</v>
      </c>
      <c r="AS71" s="1511">
        <v>2.62</v>
      </c>
      <c r="AT71" s="1511">
        <v>2.36</v>
      </c>
      <c r="AU71" s="1511">
        <v>2.25</v>
      </c>
      <c r="AV71" s="1511">
        <v>2.36</v>
      </c>
      <c r="AW71" s="1498">
        <v>2.2799999999999998</v>
      </c>
      <c r="AY71" s="57" t="s">
        <v>64</v>
      </c>
      <c r="AZ71" s="74" t="s">
        <v>373</v>
      </c>
      <c r="BA71" s="452">
        <f t="shared" ref="BA71:BA77" si="110">SUM(BB71:BM71)</f>
        <v>0</v>
      </c>
      <c r="BB71" s="519">
        <f>V71*AL71</f>
        <v>0</v>
      </c>
      <c r="BC71" s="500">
        <f t="shared" ref="BC71:BM78" si="111">W71*AM71</f>
        <v>0</v>
      </c>
      <c r="BD71" s="500">
        <f t="shared" si="111"/>
        <v>0</v>
      </c>
      <c r="BE71" s="500">
        <f t="shared" si="111"/>
        <v>0</v>
      </c>
      <c r="BF71" s="500">
        <f t="shared" si="111"/>
        <v>0</v>
      </c>
      <c r="BG71" s="500">
        <f t="shared" si="111"/>
        <v>0</v>
      </c>
      <c r="BH71" s="500">
        <f t="shared" si="111"/>
        <v>0</v>
      </c>
      <c r="BI71" s="500">
        <f t="shared" si="111"/>
        <v>0</v>
      </c>
      <c r="BJ71" s="500">
        <f t="shared" si="111"/>
        <v>0</v>
      </c>
      <c r="BK71" s="500">
        <f t="shared" si="111"/>
        <v>0</v>
      </c>
      <c r="BL71" s="500">
        <f t="shared" si="111"/>
        <v>0</v>
      </c>
      <c r="BM71" s="529">
        <f>AG71*AW71</f>
        <v>0</v>
      </c>
      <c r="CK71" s="30" t="s">
        <v>2</v>
      </c>
      <c r="CL71" s="1134" t="str">
        <f>'3 Saalis'!CJ70</f>
        <v>0</v>
      </c>
      <c r="CM71" s="8" t="s">
        <v>43</v>
      </c>
      <c r="CN71" s="10"/>
      <c r="CO71" s="447">
        <f>'3 Saalis'!CM70</f>
        <v>0</v>
      </c>
      <c r="CP71" s="8" t="s">
        <v>6</v>
      </c>
      <c r="CQ71" s="18"/>
      <c r="CR71" s="41"/>
      <c r="CS71" s="18"/>
      <c r="CT71" s="10"/>
      <c r="CU71" s="456">
        <f>'3 Saalis'!CS70</f>
        <v>0</v>
      </c>
      <c r="CW71" s="34"/>
    </row>
    <row r="72" spans="2:102" ht="13.5" thickBot="1" x14ac:dyDescent="0.25">
      <c r="B72" s="57"/>
      <c r="C72" s="74" t="s">
        <v>374</v>
      </c>
      <c r="D72" s="501">
        <f t="shared" si="107"/>
        <v>0</v>
      </c>
      <c r="E72" s="1487"/>
      <c r="F72" s="1488"/>
      <c r="G72" s="1488"/>
      <c r="H72" s="1488"/>
      <c r="I72" s="1488"/>
      <c r="J72" s="1488"/>
      <c r="K72" s="1488"/>
      <c r="L72" s="1488"/>
      <c r="M72" s="1488"/>
      <c r="N72" s="1488"/>
      <c r="O72" s="1488"/>
      <c r="P72" s="1489"/>
      <c r="S72" s="255"/>
      <c r="T72" s="74" t="s">
        <v>374</v>
      </c>
      <c r="U72" s="501">
        <f t="shared" ref="U72:U78" si="112">SUM(V72:AG72)</f>
        <v>0</v>
      </c>
      <c r="V72" s="530">
        <f>E72</f>
        <v>0</v>
      </c>
      <c r="W72" s="524">
        <f t="shared" ref="W72:AG72" si="113">F72</f>
        <v>0</v>
      </c>
      <c r="X72" s="524">
        <f t="shared" si="113"/>
        <v>0</v>
      </c>
      <c r="Y72" s="524">
        <f t="shared" si="113"/>
        <v>0</v>
      </c>
      <c r="Z72" s="524">
        <f t="shared" si="113"/>
        <v>0</v>
      </c>
      <c r="AA72" s="524">
        <f t="shared" si="113"/>
        <v>0</v>
      </c>
      <c r="AB72" s="524">
        <f t="shared" si="113"/>
        <v>0</v>
      </c>
      <c r="AC72" s="524">
        <f t="shared" si="113"/>
        <v>0</v>
      </c>
      <c r="AD72" s="524">
        <f t="shared" si="113"/>
        <v>0</v>
      </c>
      <c r="AE72" s="524">
        <f t="shared" si="113"/>
        <v>0</v>
      </c>
      <c r="AF72" s="524">
        <f t="shared" si="113"/>
        <v>0</v>
      </c>
      <c r="AG72" s="525">
        <f t="shared" si="113"/>
        <v>0</v>
      </c>
      <c r="AI72" s="57"/>
      <c r="AJ72" s="74" t="s">
        <v>374</v>
      </c>
      <c r="AK72" s="576">
        <f t="shared" si="109"/>
        <v>0</v>
      </c>
      <c r="AL72" s="1519">
        <v>1.1599999999999999</v>
      </c>
      <c r="AM72" s="1507">
        <v>1.04</v>
      </c>
      <c r="AN72" s="1507">
        <v>1.1399999999999999</v>
      </c>
      <c r="AO72" s="1507">
        <v>0.81</v>
      </c>
      <c r="AP72" s="1507">
        <v>0.83</v>
      </c>
      <c r="AQ72" s="1507">
        <v>0.8</v>
      </c>
      <c r="AR72" s="1507">
        <v>1.2</v>
      </c>
      <c r="AS72" s="1507">
        <v>1.06</v>
      </c>
      <c r="AT72" s="1507">
        <v>0.92</v>
      </c>
      <c r="AU72" s="1507">
        <v>0.98</v>
      </c>
      <c r="AV72" s="1507">
        <v>0.97</v>
      </c>
      <c r="AW72" s="1500">
        <v>0.89</v>
      </c>
      <c r="AY72" s="57"/>
      <c r="AZ72" s="74" t="s">
        <v>374</v>
      </c>
      <c r="BA72" s="501">
        <f t="shared" si="110"/>
        <v>0</v>
      </c>
      <c r="BB72" s="530">
        <f>V72*AL72</f>
        <v>0</v>
      </c>
      <c r="BC72" s="524">
        <f t="shared" ref="BC72:BL72" si="114">W72*AM72</f>
        <v>0</v>
      </c>
      <c r="BD72" s="524">
        <f t="shared" si="114"/>
        <v>0</v>
      </c>
      <c r="BE72" s="524">
        <f t="shared" si="114"/>
        <v>0</v>
      </c>
      <c r="BF72" s="524">
        <f t="shared" si="114"/>
        <v>0</v>
      </c>
      <c r="BG72" s="524">
        <f t="shared" si="114"/>
        <v>0</v>
      </c>
      <c r="BH72" s="524">
        <f t="shared" si="114"/>
        <v>0</v>
      </c>
      <c r="BI72" s="524">
        <f t="shared" si="114"/>
        <v>0</v>
      </c>
      <c r="BJ72" s="524">
        <f t="shared" si="114"/>
        <v>0</v>
      </c>
      <c r="BK72" s="524">
        <f t="shared" si="114"/>
        <v>0</v>
      </c>
      <c r="BL72" s="524">
        <f t="shared" si="114"/>
        <v>0</v>
      </c>
      <c r="BM72" s="525">
        <f>AG72*AW72</f>
        <v>0</v>
      </c>
      <c r="CK72" s="30" t="s">
        <v>3</v>
      </c>
      <c r="CL72" s="1134" t="str">
        <f>'3 Saalis'!CJ71</f>
        <v>0</v>
      </c>
      <c r="CM72" s="8" t="s">
        <v>44</v>
      </c>
      <c r="CN72" s="10"/>
      <c r="CO72" s="448">
        <f>'3 Saalis'!CM71</f>
        <v>0</v>
      </c>
      <c r="CP72" s="40" t="s">
        <v>26</v>
      </c>
      <c r="CQ72" s="14"/>
      <c r="CR72" s="14"/>
      <c r="CS72" s="14"/>
      <c r="CT72" s="17"/>
      <c r="CU72" s="731">
        <f>'3 Saalis'!CS71</f>
        <v>0</v>
      </c>
    </row>
    <row r="73" spans="2:102" ht="13.5" thickBot="1" x14ac:dyDescent="0.25">
      <c r="B73" s="57"/>
      <c r="C73" s="59" t="s">
        <v>77</v>
      </c>
      <c r="D73" s="501">
        <f t="shared" si="107"/>
        <v>0</v>
      </c>
      <c r="E73" s="1486"/>
      <c r="F73" s="1471"/>
      <c r="G73" s="1471"/>
      <c r="H73" s="1471"/>
      <c r="I73" s="1471"/>
      <c r="J73" s="1471"/>
      <c r="K73" s="1471"/>
      <c r="L73" s="1471"/>
      <c r="M73" s="1471"/>
      <c r="N73" s="1471"/>
      <c r="O73" s="1471"/>
      <c r="P73" s="1472"/>
      <c r="S73" s="255"/>
      <c r="T73" s="256" t="s">
        <v>83</v>
      </c>
      <c r="U73" s="501">
        <f t="shared" si="112"/>
        <v>0</v>
      </c>
      <c r="V73" s="530">
        <f>E73*'5 Kalan alkukäsittely satamassa'!$D$10</f>
        <v>0</v>
      </c>
      <c r="W73" s="524">
        <f>F73*'5 Kalan alkukäsittely satamassa'!$D$10</f>
        <v>0</v>
      </c>
      <c r="X73" s="524">
        <f>G73*'5 Kalan alkukäsittely satamassa'!$D$10</f>
        <v>0</v>
      </c>
      <c r="Y73" s="524">
        <f>H73*'5 Kalan alkukäsittely satamassa'!$D$10</f>
        <v>0</v>
      </c>
      <c r="Z73" s="524">
        <f>I73*'5 Kalan alkukäsittely satamassa'!$D$10</f>
        <v>0</v>
      </c>
      <c r="AA73" s="524">
        <f>J73*'5 Kalan alkukäsittely satamassa'!$D$10</f>
        <v>0</v>
      </c>
      <c r="AB73" s="524">
        <f>K73*'5 Kalan alkukäsittely satamassa'!$D$10</f>
        <v>0</v>
      </c>
      <c r="AC73" s="524">
        <f>L73*'5 Kalan alkukäsittely satamassa'!$D$10</f>
        <v>0</v>
      </c>
      <c r="AD73" s="524">
        <f>M73*'5 Kalan alkukäsittely satamassa'!$D$10</f>
        <v>0</v>
      </c>
      <c r="AE73" s="524">
        <f>N73*'5 Kalan alkukäsittely satamassa'!$D$10</f>
        <v>0</v>
      </c>
      <c r="AF73" s="524">
        <f>O73*'5 Kalan alkukäsittely satamassa'!$D$10</f>
        <v>0</v>
      </c>
      <c r="AG73" s="525">
        <f>P73*'5 Kalan alkukäsittely satamassa'!$D$10</f>
        <v>0</v>
      </c>
      <c r="AI73" s="57"/>
      <c r="AJ73" s="59" t="s">
        <v>83</v>
      </c>
      <c r="AK73" s="576">
        <f t="shared" si="109"/>
        <v>0</v>
      </c>
      <c r="AL73" s="1502">
        <v>3</v>
      </c>
      <c r="AM73" s="1502">
        <v>3</v>
      </c>
      <c r="AN73" s="1502">
        <v>3</v>
      </c>
      <c r="AO73" s="1502">
        <v>2.5</v>
      </c>
      <c r="AP73" s="1502">
        <v>2.5</v>
      </c>
      <c r="AQ73" s="1502">
        <v>3</v>
      </c>
      <c r="AR73" s="1502">
        <v>3</v>
      </c>
      <c r="AS73" s="1502">
        <v>3</v>
      </c>
      <c r="AT73" s="1502">
        <v>3</v>
      </c>
      <c r="AU73" s="1502">
        <v>3</v>
      </c>
      <c r="AV73" s="1502">
        <v>3</v>
      </c>
      <c r="AW73" s="1502">
        <v>3</v>
      </c>
      <c r="AY73" s="57"/>
      <c r="AZ73" s="59" t="s">
        <v>83</v>
      </c>
      <c r="BA73" s="501">
        <f t="shared" si="110"/>
        <v>0</v>
      </c>
      <c r="BB73" s="530">
        <f t="shared" ref="BB73:BB78" si="115">V73*AL73</f>
        <v>0</v>
      </c>
      <c r="BC73" s="524">
        <f t="shared" si="111"/>
        <v>0</v>
      </c>
      <c r="BD73" s="524">
        <f t="shared" si="111"/>
        <v>0</v>
      </c>
      <c r="BE73" s="524">
        <f t="shared" si="111"/>
        <v>0</v>
      </c>
      <c r="BF73" s="524">
        <f t="shared" si="111"/>
        <v>0</v>
      </c>
      <c r="BG73" s="524">
        <f t="shared" si="111"/>
        <v>0</v>
      </c>
      <c r="BH73" s="524">
        <f t="shared" si="111"/>
        <v>0</v>
      </c>
      <c r="BI73" s="524">
        <f t="shared" si="111"/>
        <v>0</v>
      </c>
      <c r="BJ73" s="524">
        <f t="shared" si="111"/>
        <v>0</v>
      </c>
      <c r="BK73" s="524">
        <f t="shared" si="111"/>
        <v>0</v>
      </c>
      <c r="BL73" s="524">
        <f t="shared" si="111"/>
        <v>0</v>
      </c>
      <c r="BM73" s="525">
        <f t="shared" si="111"/>
        <v>0</v>
      </c>
      <c r="CK73" s="34"/>
      <c r="CL73" s="34" t="s">
        <v>1</v>
      </c>
      <c r="CM73" s="45"/>
      <c r="CN73" s="34"/>
      <c r="CP73" s="46"/>
      <c r="CQ73" s="34"/>
    </row>
    <row r="74" spans="2:102" ht="13.5" thickBot="1" x14ac:dyDescent="0.25">
      <c r="B74" s="40"/>
      <c r="C74" s="56" t="s">
        <v>78</v>
      </c>
      <c r="D74" s="498">
        <f t="shared" si="107"/>
        <v>0</v>
      </c>
      <c r="E74" s="1483"/>
      <c r="F74" s="1477"/>
      <c r="G74" s="1477"/>
      <c r="H74" s="1477"/>
      <c r="I74" s="1477"/>
      <c r="J74" s="1477"/>
      <c r="K74" s="1477"/>
      <c r="L74" s="1477"/>
      <c r="M74" s="1477"/>
      <c r="N74" s="1477"/>
      <c r="O74" s="1477"/>
      <c r="P74" s="1478"/>
      <c r="S74" s="258"/>
      <c r="T74" s="259" t="s">
        <v>84</v>
      </c>
      <c r="U74" s="498">
        <f t="shared" si="112"/>
        <v>0</v>
      </c>
      <c r="V74" s="515">
        <f>E74*'5 Kalan alkukäsittely satamassa'!$F$10</f>
        <v>0</v>
      </c>
      <c r="W74" s="531">
        <f>F74*'5 Kalan alkukäsittely satamassa'!$F$10</f>
        <v>0</v>
      </c>
      <c r="X74" s="531">
        <f>G74*'5 Kalan alkukäsittely satamassa'!$F$10</f>
        <v>0</v>
      </c>
      <c r="Y74" s="531">
        <f>H74*'5 Kalan alkukäsittely satamassa'!$F$10</f>
        <v>0</v>
      </c>
      <c r="Z74" s="531">
        <f>I74*'5 Kalan alkukäsittely satamassa'!$F$10</f>
        <v>0</v>
      </c>
      <c r="AA74" s="531">
        <f>J74*'5 Kalan alkukäsittely satamassa'!$F$10</f>
        <v>0</v>
      </c>
      <c r="AB74" s="531">
        <f>K74*'5 Kalan alkukäsittely satamassa'!$F$10</f>
        <v>0</v>
      </c>
      <c r="AC74" s="531">
        <f>L74*'5 Kalan alkukäsittely satamassa'!$F$10</f>
        <v>0</v>
      </c>
      <c r="AD74" s="531">
        <f>M74*'5 Kalan alkukäsittely satamassa'!$F$10</f>
        <v>0</v>
      </c>
      <c r="AE74" s="531">
        <f>N74*'5 Kalan alkukäsittely satamassa'!$F$10</f>
        <v>0</v>
      </c>
      <c r="AF74" s="531">
        <f>O74*'5 Kalan alkukäsittely satamassa'!$F$10</f>
        <v>0</v>
      </c>
      <c r="AG74" s="532">
        <f>P74*'5 Kalan alkukäsittely satamassa'!$F$10</f>
        <v>0</v>
      </c>
      <c r="AI74" s="57"/>
      <c r="AJ74" s="59" t="s">
        <v>84</v>
      </c>
      <c r="AK74" s="577">
        <f t="shared" si="109"/>
        <v>0</v>
      </c>
      <c r="AL74" s="1508">
        <v>10.68</v>
      </c>
      <c r="AM74" s="1509">
        <v>10.68</v>
      </c>
      <c r="AN74" s="1509">
        <v>10.68</v>
      </c>
      <c r="AO74" s="1509">
        <v>10.68</v>
      </c>
      <c r="AP74" s="1509">
        <v>10.68</v>
      </c>
      <c r="AQ74" s="1509">
        <v>10.68</v>
      </c>
      <c r="AR74" s="1509">
        <v>10.68</v>
      </c>
      <c r="AS74" s="1509">
        <v>10.68</v>
      </c>
      <c r="AT74" s="1509">
        <v>10.68</v>
      </c>
      <c r="AU74" s="1509">
        <v>10.68</v>
      </c>
      <c r="AV74" s="1509">
        <v>10.68</v>
      </c>
      <c r="AW74" s="1510">
        <v>10.68</v>
      </c>
      <c r="AY74" s="57"/>
      <c r="AZ74" s="59" t="s">
        <v>84</v>
      </c>
      <c r="BA74" s="555">
        <f t="shared" si="110"/>
        <v>0</v>
      </c>
      <c r="BB74" s="541">
        <f t="shared" si="115"/>
        <v>0</v>
      </c>
      <c r="BC74" s="542">
        <f t="shared" si="111"/>
        <v>0</v>
      </c>
      <c r="BD74" s="542">
        <f t="shared" si="111"/>
        <v>0</v>
      </c>
      <c r="BE74" s="542">
        <f t="shared" si="111"/>
        <v>0</v>
      </c>
      <c r="BF74" s="542">
        <f t="shared" si="111"/>
        <v>0</v>
      </c>
      <c r="BG74" s="542">
        <f t="shared" si="111"/>
        <v>0</v>
      </c>
      <c r="BH74" s="542">
        <f t="shared" si="111"/>
        <v>0</v>
      </c>
      <c r="BI74" s="542">
        <f t="shared" si="111"/>
        <v>0</v>
      </c>
      <c r="BJ74" s="542">
        <f t="shared" si="111"/>
        <v>0</v>
      </c>
      <c r="BK74" s="542">
        <f t="shared" si="111"/>
        <v>0</v>
      </c>
      <c r="BL74" s="542">
        <f t="shared" si="111"/>
        <v>0</v>
      </c>
      <c r="BM74" s="543">
        <f t="shared" si="111"/>
        <v>0</v>
      </c>
      <c r="CK74" s="5" t="s">
        <v>380</v>
      </c>
      <c r="CL74" s="83" t="s">
        <v>40</v>
      </c>
      <c r="CM74" s="47"/>
      <c r="CN74" s="48"/>
      <c r="CO74" s="48"/>
      <c r="CP74" s="48"/>
      <c r="CQ74" s="48"/>
      <c r="CR74" s="41" t="s">
        <v>42</v>
      </c>
      <c r="CS74" s="48"/>
      <c r="CT74" s="48"/>
      <c r="CU74" s="48"/>
      <c r="CV74" s="48"/>
      <c r="CW74" s="48"/>
      <c r="CX74" s="49"/>
    </row>
    <row r="75" spans="2:102" ht="13.5" thickBot="1" x14ac:dyDescent="0.25">
      <c r="B75" s="57" t="s">
        <v>79</v>
      </c>
      <c r="C75" s="59" t="s">
        <v>82</v>
      </c>
      <c r="D75" s="452">
        <f t="shared" si="107"/>
        <v>0</v>
      </c>
      <c r="E75" s="1487"/>
      <c r="F75" s="1488"/>
      <c r="G75" s="1488"/>
      <c r="H75" s="1488"/>
      <c r="I75" s="1488"/>
      <c r="J75" s="1488"/>
      <c r="K75" s="1488"/>
      <c r="L75" s="1488"/>
      <c r="M75" s="1488"/>
      <c r="N75" s="1488"/>
      <c r="O75" s="1488"/>
      <c r="P75" s="1489"/>
      <c r="S75" s="255" t="s">
        <v>79</v>
      </c>
      <c r="T75" s="256" t="s">
        <v>82</v>
      </c>
      <c r="U75" s="452">
        <f t="shared" si="112"/>
        <v>0</v>
      </c>
      <c r="V75" s="533">
        <f t="shared" ref="V75:AG75" si="116">E75</f>
        <v>0</v>
      </c>
      <c r="W75" s="534">
        <f t="shared" si="116"/>
        <v>0</v>
      </c>
      <c r="X75" s="534">
        <f t="shared" si="116"/>
        <v>0</v>
      </c>
      <c r="Y75" s="534">
        <f t="shared" si="116"/>
        <v>0</v>
      </c>
      <c r="Z75" s="534">
        <f t="shared" si="116"/>
        <v>0</v>
      </c>
      <c r="AA75" s="534">
        <f t="shared" si="116"/>
        <v>0</v>
      </c>
      <c r="AB75" s="534">
        <f t="shared" si="116"/>
        <v>0</v>
      </c>
      <c r="AC75" s="534">
        <f t="shared" si="116"/>
        <v>0</v>
      </c>
      <c r="AD75" s="534">
        <f t="shared" si="116"/>
        <v>0</v>
      </c>
      <c r="AE75" s="534">
        <f t="shared" si="116"/>
        <v>0</v>
      </c>
      <c r="AF75" s="534">
        <f t="shared" si="116"/>
        <v>0</v>
      </c>
      <c r="AG75" s="535">
        <f t="shared" si="116"/>
        <v>0</v>
      </c>
      <c r="AI75" s="5" t="s">
        <v>79</v>
      </c>
      <c r="AJ75" s="36" t="s">
        <v>82</v>
      </c>
      <c r="AK75" s="587">
        <f t="shared" si="109"/>
        <v>0</v>
      </c>
      <c r="AL75" s="1496">
        <v>2.1800000000000002</v>
      </c>
      <c r="AM75" s="1511">
        <v>2.02</v>
      </c>
      <c r="AN75" s="1511">
        <v>1.94</v>
      </c>
      <c r="AO75" s="1511">
        <v>1.52</v>
      </c>
      <c r="AP75" s="1511">
        <v>1.0900000000000001</v>
      </c>
      <c r="AQ75" s="1511">
        <v>1.47</v>
      </c>
      <c r="AR75" s="1511">
        <v>2.63</v>
      </c>
      <c r="AS75" s="1511">
        <v>2.5499999999999998</v>
      </c>
      <c r="AT75" s="1511">
        <v>2.4</v>
      </c>
      <c r="AU75" s="1511">
        <v>2.31</v>
      </c>
      <c r="AV75" s="1511">
        <v>2.31</v>
      </c>
      <c r="AW75" s="1498">
        <v>2.23</v>
      </c>
      <c r="AY75" s="5" t="s">
        <v>79</v>
      </c>
      <c r="AZ75" s="36" t="s">
        <v>82</v>
      </c>
      <c r="BA75" s="544">
        <f t="shared" si="110"/>
        <v>0</v>
      </c>
      <c r="BB75" s="519">
        <f t="shared" si="115"/>
        <v>0</v>
      </c>
      <c r="BC75" s="500">
        <f t="shared" si="111"/>
        <v>0</v>
      </c>
      <c r="BD75" s="500">
        <f t="shared" si="111"/>
        <v>0</v>
      </c>
      <c r="BE75" s="500">
        <f t="shared" si="111"/>
        <v>0</v>
      </c>
      <c r="BF75" s="500">
        <f t="shared" si="111"/>
        <v>0</v>
      </c>
      <c r="BG75" s="500">
        <f t="shared" si="111"/>
        <v>0</v>
      </c>
      <c r="BH75" s="500">
        <f t="shared" si="111"/>
        <v>0</v>
      </c>
      <c r="BI75" s="500">
        <f t="shared" si="111"/>
        <v>0</v>
      </c>
      <c r="BJ75" s="500">
        <f t="shared" si="111"/>
        <v>0</v>
      </c>
      <c r="BK75" s="500">
        <f t="shared" si="111"/>
        <v>0</v>
      </c>
      <c r="BL75" s="500">
        <f t="shared" si="111"/>
        <v>0</v>
      </c>
      <c r="BM75" s="529">
        <f t="shared" si="111"/>
        <v>0</v>
      </c>
      <c r="CK75" s="57"/>
      <c r="CL75" s="69" t="s">
        <v>41</v>
      </c>
      <c r="CM75" s="68">
        <v>1</v>
      </c>
      <c r="CN75" s="84">
        <v>2</v>
      </c>
      <c r="CO75" s="85">
        <v>3</v>
      </c>
      <c r="CP75" s="85">
        <v>4</v>
      </c>
      <c r="CQ75" s="85">
        <v>5</v>
      </c>
      <c r="CR75" s="85">
        <v>6</v>
      </c>
      <c r="CS75" s="85">
        <v>7</v>
      </c>
      <c r="CT75" s="85">
        <v>8</v>
      </c>
      <c r="CU75" s="85">
        <v>9</v>
      </c>
      <c r="CV75" s="85">
        <v>10</v>
      </c>
      <c r="CW75" s="85">
        <v>11</v>
      </c>
      <c r="CX75" s="86">
        <v>12</v>
      </c>
    </row>
    <row r="76" spans="2:102" x14ac:dyDescent="0.2">
      <c r="B76" s="57" t="s">
        <v>1</v>
      </c>
      <c r="C76" s="59" t="s">
        <v>77</v>
      </c>
      <c r="D76" s="501">
        <f t="shared" si="107"/>
        <v>0</v>
      </c>
      <c r="E76" s="1486"/>
      <c r="F76" s="1471"/>
      <c r="G76" s="1471"/>
      <c r="H76" s="1471"/>
      <c r="I76" s="1471"/>
      <c r="J76" s="1471"/>
      <c r="K76" s="1471"/>
      <c r="L76" s="1471"/>
      <c r="M76" s="1471"/>
      <c r="N76" s="1471"/>
      <c r="O76" s="1471"/>
      <c r="P76" s="1472"/>
      <c r="S76" s="255" t="s">
        <v>1</v>
      </c>
      <c r="T76" s="256" t="s">
        <v>83</v>
      </c>
      <c r="U76" s="501">
        <f t="shared" si="112"/>
        <v>0</v>
      </c>
      <c r="V76" s="530">
        <f>E76*'5 Kalan alkukäsittely satamassa'!$D$10</f>
        <v>0</v>
      </c>
      <c r="W76" s="524">
        <f>F76*'5 Kalan alkukäsittely satamassa'!$D$10</f>
        <v>0</v>
      </c>
      <c r="X76" s="524">
        <f>G76*'5 Kalan alkukäsittely satamassa'!$D$10</f>
        <v>0</v>
      </c>
      <c r="Y76" s="524">
        <f>H76*'5 Kalan alkukäsittely satamassa'!$D$10</f>
        <v>0</v>
      </c>
      <c r="Z76" s="524">
        <f>I76*'5 Kalan alkukäsittely satamassa'!$D$10</f>
        <v>0</v>
      </c>
      <c r="AA76" s="524">
        <f>J76*'5 Kalan alkukäsittely satamassa'!$D$10</f>
        <v>0</v>
      </c>
      <c r="AB76" s="524">
        <f>K76*'5 Kalan alkukäsittely satamassa'!$D$10</f>
        <v>0</v>
      </c>
      <c r="AC76" s="524">
        <f>L76*'5 Kalan alkukäsittely satamassa'!$D$10</f>
        <v>0</v>
      </c>
      <c r="AD76" s="524">
        <f>M76*'5 Kalan alkukäsittely satamassa'!$D$10</f>
        <v>0</v>
      </c>
      <c r="AE76" s="524">
        <f>N76*'5 Kalan alkukäsittely satamassa'!$D$10</f>
        <v>0</v>
      </c>
      <c r="AF76" s="524">
        <f>O76*'5 Kalan alkukäsittely satamassa'!$D$10</f>
        <v>0</v>
      </c>
      <c r="AG76" s="525">
        <f>P76*'5 Kalan alkukäsittely satamassa'!$D$10</f>
        <v>0</v>
      </c>
      <c r="AI76" s="57" t="s">
        <v>1</v>
      </c>
      <c r="AJ76" s="59" t="s">
        <v>83</v>
      </c>
      <c r="AK76" s="576">
        <f t="shared" si="109"/>
        <v>0</v>
      </c>
      <c r="AL76" s="1501">
        <v>3</v>
      </c>
      <c r="AM76" s="1502">
        <v>3</v>
      </c>
      <c r="AN76" s="1502">
        <v>3</v>
      </c>
      <c r="AO76" s="1502">
        <v>2.5</v>
      </c>
      <c r="AP76" s="1502">
        <v>2.5</v>
      </c>
      <c r="AQ76" s="1502">
        <v>3</v>
      </c>
      <c r="AR76" s="1502">
        <v>3</v>
      </c>
      <c r="AS76" s="1502">
        <v>3</v>
      </c>
      <c r="AT76" s="1502">
        <v>3</v>
      </c>
      <c r="AU76" s="1502">
        <v>3</v>
      </c>
      <c r="AV76" s="1502">
        <v>3</v>
      </c>
      <c r="AW76" s="1503">
        <v>3</v>
      </c>
      <c r="AY76" s="57" t="s">
        <v>1</v>
      </c>
      <c r="AZ76" s="59" t="s">
        <v>83</v>
      </c>
      <c r="BA76" s="501">
        <f t="shared" si="110"/>
        <v>0</v>
      </c>
      <c r="BB76" s="530">
        <f t="shared" si="115"/>
        <v>0</v>
      </c>
      <c r="BC76" s="524">
        <f t="shared" si="111"/>
        <v>0</v>
      </c>
      <c r="BD76" s="524">
        <f t="shared" si="111"/>
        <v>0</v>
      </c>
      <c r="BE76" s="524">
        <f t="shared" si="111"/>
        <v>0</v>
      </c>
      <c r="BF76" s="524">
        <f t="shared" si="111"/>
        <v>0</v>
      </c>
      <c r="BG76" s="524">
        <f t="shared" si="111"/>
        <v>0</v>
      </c>
      <c r="BH76" s="524">
        <f t="shared" si="111"/>
        <v>0</v>
      </c>
      <c r="BI76" s="524">
        <f t="shared" si="111"/>
        <v>0</v>
      </c>
      <c r="BJ76" s="524">
        <f t="shared" si="111"/>
        <v>0</v>
      </c>
      <c r="BK76" s="524">
        <f t="shared" si="111"/>
        <v>0</v>
      </c>
      <c r="BL76" s="524">
        <f t="shared" si="111"/>
        <v>0</v>
      </c>
      <c r="BM76" s="525">
        <f t="shared" si="111"/>
        <v>0</v>
      </c>
      <c r="CK76" s="5" t="s">
        <v>100</v>
      </c>
      <c r="CL76" s="425">
        <f>SUM(CM76:CX76)</f>
        <v>0</v>
      </c>
      <c r="CM76" s="509">
        <f>CM7*'3 Saalis'!CK75</f>
        <v>0</v>
      </c>
      <c r="CN76" s="434">
        <f>CN7*'3 Saalis'!CL75</f>
        <v>0</v>
      </c>
      <c r="CO76" s="434">
        <f>CO7*'3 Saalis'!CM75</f>
        <v>0</v>
      </c>
      <c r="CP76" s="434">
        <f>CP7*'3 Saalis'!CN75</f>
        <v>0</v>
      </c>
      <c r="CQ76" s="434">
        <f>CQ7*'3 Saalis'!CO75</f>
        <v>0</v>
      </c>
      <c r="CR76" s="434">
        <f>CR7*'3 Saalis'!CP75</f>
        <v>0</v>
      </c>
      <c r="CS76" s="434">
        <f>CS7*'3 Saalis'!CQ75</f>
        <v>0</v>
      </c>
      <c r="CT76" s="434">
        <f>CT7*'3 Saalis'!CR75</f>
        <v>0</v>
      </c>
      <c r="CU76" s="434">
        <f>CU7*'3 Saalis'!CS75</f>
        <v>0</v>
      </c>
      <c r="CV76" s="434">
        <f>CV7*'3 Saalis'!CT75</f>
        <v>0</v>
      </c>
      <c r="CW76" s="434">
        <f>CW7*'3 Saalis'!CU75</f>
        <v>0</v>
      </c>
      <c r="CX76" s="435">
        <f>CX7*'3 Saalis'!CV75</f>
        <v>0</v>
      </c>
    </row>
    <row r="77" spans="2:102" ht="13.5" thickBot="1" x14ac:dyDescent="0.25">
      <c r="B77" s="40"/>
      <c r="C77" s="56" t="s">
        <v>78</v>
      </c>
      <c r="D77" s="502">
        <f t="shared" si="107"/>
        <v>0</v>
      </c>
      <c r="E77" s="1483"/>
      <c r="F77" s="1477"/>
      <c r="G77" s="1477"/>
      <c r="H77" s="1477"/>
      <c r="I77" s="1477"/>
      <c r="J77" s="1477"/>
      <c r="K77" s="1477"/>
      <c r="L77" s="1477"/>
      <c r="M77" s="1477"/>
      <c r="N77" s="1477"/>
      <c r="O77" s="1477"/>
      <c r="P77" s="1478"/>
      <c r="S77" s="258"/>
      <c r="T77" s="259" t="s">
        <v>84</v>
      </c>
      <c r="U77" s="502">
        <f t="shared" si="112"/>
        <v>0</v>
      </c>
      <c r="V77" s="515">
        <f>E77*'5 Kalan alkukäsittely satamassa'!$F$10</f>
        <v>0</v>
      </c>
      <c r="W77" s="531">
        <f>F77*'5 Kalan alkukäsittely satamassa'!$F$10</f>
        <v>0</v>
      </c>
      <c r="X77" s="531">
        <f>G77*'5 Kalan alkukäsittely satamassa'!$F$10</f>
        <v>0</v>
      </c>
      <c r="Y77" s="531">
        <f>H77*'5 Kalan alkukäsittely satamassa'!$F$10</f>
        <v>0</v>
      </c>
      <c r="Z77" s="531">
        <f>I77*'5 Kalan alkukäsittely satamassa'!$F$10</f>
        <v>0</v>
      </c>
      <c r="AA77" s="531">
        <f>J77*'5 Kalan alkukäsittely satamassa'!$F$10</f>
        <v>0</v>
      </c>
      <c r="AB77" s="531">
        <f>K77*'5 Kalan alkukäsittely satamassa'!$F$10</f>
        <v>0</v>
      </c>
      <c r="AC77" s="531">
        <f>L77*'5 Kalan alkukäsittely satamassa'!$F$10</f>
        <v>0</v>
      </c>
      <c r="AD77" s="531">
        <f>M77*'5 Kalan alkukäsittely satamassa'!$F$10</f>
        <v>0</v>
      </c>
      <c r="AE77" s="531">
        <f>N77*'5 Kalan alkukäsittely satamassa'!$F$10</f>
        <v>0</v>
      </c>
      <c r="AF77" s="531">
        <f>O77*'5 Kalan alkukäsittely satamassa'!$F$10</f>
        <v>0</v>
      </c>
      <c r="AG77" s="532">
        <f>P77*'5 Kalan alkukäsittely satamassa'!$F$10</f>
        <v>0</v>
      </c>
      <c r="AI77" s="40"/>
      <c r="AJ77" s="56" t="s">
        <v>84</v>
      </c>
      <c r="AK77" s="588">
        <f t="shared" si="109"/>
        <v>0</v>
      </c>
      <c r="AL77" s="1504">
        <v>11</v>
      </c>
      <c r="AM77" s="1505">
        <v>11</v>
      </c>
      <c r="AN77" s="1505">
        <v>11</v>
      </c>
      <c r="AO77" s="1505">
        <v>11</v>
      </c>
      <c r="AP77" s="1505">
        <v>11</v>
      </c>
      <c r="AQ77" s="1505">
        <v>11</v>
      </c>
      <c r="AR77" s="1505">
        <v>11</v>
      </c>
      <c r="AS77" s="1505">
        <v>11</v>
      </c>
      <c r="AT77" s="1505">
        <v>11</v>
      </c>
      <c r="AU77" s="1505">
        <v>11</v>
      </c>
      <c r="AV77" s="1505">
        <v>11</v>
      </c>
      <c r="AW77" s="1506">
        <v>11</v>
      </c>
      <c r="AY77" s="40"/>
      <c r="AZ77" s="56" t="s">
        <v>84</v>
      </c>
      <c r="BA77" s="502">
        <f t="shared" si="110"/>
        <v>0</v>
      </c>
      <c r="BB77" s="515">
        <f t="shared" si="115"/>
        <v>0</v>
      </c>
      <c r="BC77" s="531">
        <f t="shared" si="111"/>
        <v>0</v>
      </c>
      <c r="BD77" s="531">
        <f t="shared" si="111"/>
        <v>0</v>
      </c>
      <c r="BE77" s="531">
        <f t="shared" si="111"/>
        <v>0</v>
      </c>
      <c r="BF77" s="531">
        <f t="shared" si="111"/>
        <v>0</v>
      </c>
      <c r="BG77" s="531">
        <f t="shared" si="111"/>
        <v>0</v>
      </c>
      <c r="BH77" s="531">
        <f t="shared" si="111"/>
        <v>0</v>
      </c>
      <c r="BI77" s="531">
        <f t="shared" si="111"/>
        <v>0</v>
      </c>
      <c r="BJ77" s="531">
        <f t="shared" si="111"/>
        <v>0</v>
      </c>
      <c r="BK77" s="531">
        <f t="shared" si="111"/>
        <v>0</v>
      </c>
      <c r="BL77" s="531">
        <f t="shared" si="111"/>
        <v>0</v>
      </c>
      <c r="BM77" s="532">
        <f t="shared" si="111"/>
        <v>0</v>
      </c>
      <c r="CK77" s="57" t="s">
        <v>108</v>
      </c>
      <c r="CL77" s="510">
        <f t="shared" ref="CL77:CL87" si="117">SUM(CM77:CX77)</f>
        <v>0</v>
      </c>
      <c r="CM77" s="511">
        <f>CM8*'3 Saalis'!CK76</f>
        <v>0</v>
      </c>
      <c r="CN77" s="438">
        <f>CN8*'3 Saalis'!CL76</f>
        <v>0</v>
      </c>
      <c r="CO77" s="438">
        <f>CO8*'3 Saalis'!CM76</f>
        <v>0</v>
      </c>
      <c r="CP77" s="438">
        <f>CP8*'3 Saalis'!CN76</f>
        <v>0</v>
      </c>
      <c r="CQ77" s="438">
        <f>CQ8*'3 Saalis'!CO76</f>
        <v>0</v>
      </c>
      <c r="CR77" s="438">
        <f>CR8*'3 Saalis'!CP76</f>
        <v>0</v>
      </c>
      <c r="CS77" s="438">
        <f>CS8*'3 Saalis'!CQ76</f>
        <v>0</v>
      </c>
      <c r="CT77" s="438">
        <f>CT8*'3 Saalis'!CR76</f>
        <v>0</v>
      </c>
      <c r="CU77" s="438">
        <f>CU8*'3 Saalis'!CS76</f>
        <v>0</v>
      </c>
      <c r="CV77" s="438">
        <f>CV8*'3 Saalis'!CT76</f>
        <v>0</v>
      </c>
      <c r="CW77" s="438">
        <f>CW8*'3 Saalis'!CU76</f>
        <v>0</v>
      </c>
      <c r="CX77" s="439">
        <f>CX8*'3 Saalis'!CV76</f>
        <v>0</v>
      </c>
    </row>
    <row r="78" spans="2:102" ht="13.5" thickBot="1" x14ac:dyDescent="0.25">
      <c r="B78" s="40" t="s">
        <v>80</v>
      </c>
      <c r="C78" s="1485"/>
      <c r="D78" s="452">
        <f t="shared" si="107"/>
        <v>0</v>
      </c>
      <c r="E78" s="1484"/>
      <c r="F78" s="1480"/>
      <c r="G78" s="1480"/>
      <c r="H78" s="1480"/>
      <c r="I78" s="1480"/>
      <c r="J78" s="1480"/>
      <c r="K78" s="1480"/>
      <c r="L78" s="1480"/>
      <c r="M78" s="1480"/>
      <c r="N78" s="1480"/>
      <c r="O78" s="1480"/>
      <c r="P78" s="1481"/>
      <c r="S78" s="258" t="s">
        <v>80</v>
      </c>
      <c r="T78" s="1133">
        <f>C78</f>
        <v>0</v>
      </c>
      <c r="U78" s="452">
        <f t="shared" si="112"/>
        <v>0</v>
      </c>
      <c r="V78" s="536">
        <f t="shared" ref="V78:AG78" si="118">E78</f>
        <v>0</v>
      </c>
      <c r="W78" s="537">
        <f t="shared" si="118"/>
        <v>0</v>
      </c>
      <c r="X78" s="537">
        <f t="shared" si="118"/>
        <v>0</v>
      </c>
      <c r="Y78" s="537">
        <f t="shared" si="118"/>
        <v>0</v>
      </c>
      <c r="Z78" s="537">
        <f t="shared" si="118"/>
        <v>0</v>
      </c>
      <c r="AA78" s="537">
        <f t="shared" si="118"/>
        <v>0</v>
      </c>
      <c r="AB78" s="537">
        <f t="shared" si="118"/>
        <v>0</v>
      </c>
      <c r="AC78" s="537">
        <f t="shared" si="118"/>
        <v>0</v>
      </c>
      <c r="AD78" s="537">
        <f t="shared" si="118"/>
        <v>0</v>
      </c>
      <c r="AE78" s="537">
        <f t="shared" si="118"/>
        <v>0</v>
      </c>
      <c r="AF78" s="537">
        <f t="shared" si="118"/>
        <v>0</v>
      </c>
      <c r="AG78" s="538">
        <f t="shared" si="118"/>
        <v>0</v>
      </c>
      <c r="AI78" s="40" t="s">
        <v>80</v>
      </c>
      <c r="AJ78" s="1133">
        <f>T78</f>
        <v>0</v>
      </c>
      <c r="AK78" s="576">
        <f t="shared" si="109"/>
        <v>0</v>
      </c>
      <c r="AL78" s="1520"/>
      <c r="AM78" s="1521"/>
      <c r="AN78" s="1521"/>
      <c r="AO78" s="1521"/>
      <c r="AP78" s="1521"/>
      <c r="AQ78" s="1521"/>
      <c r="AR78" s="1521"/>
      <c r="AS78" s="1521"/>
      <c r="AT78" s="1521"/>
      <c r="AU78" s="1521"/>
      <c r="AV78" s="1521"/>
      <c r="AW78" s="1522"/>
      <c r="AY78" s="8" t="s">
        <v>80</v>
      </c>
      <c r="AZ78" s="1133">
        <f>AJ78</f>
        <v>0</v>
      </c>
      <c r="BA78" s="494">
        <f>SUM(BB78:BM78)</f>
        <v>0</v>
      </c>
      <c r="BB78" s="522">
        <f t="shared" si="115"/>
        <v>0</v>
      </c>
      <c r="BC78" s="517">
        <f t="shared" si="111"/>
        <v>0</v>
      </c>
      <c r="BD78" s="517">
        <f t="shared" si="111"/>
        <v>0</v>
      </c>
      <c r="BE78" s="517">
        <f t="shared" si="111"/>
        <v>0</v>
      </c>
      <c r="BF78" s="517">
        <f t="shared" si="111"/>
        <v>0</v>
      </c>
      <c r="BG78" s="517">
        <f t="shared" si="111"/>
        <v>0</v>
      </c>
      <c r="BH78" s="517">
        <f t="shared" si="111"/>
        <v>0</v>
      </c>
      <c r="BI78" s="517">
        <f t="shared" si="111"/>
        <v>0</v>
      </c>
      <c r="BJ78" s="517">
        <f t="shared" si="111"/>
        <v>0</v>
      </c>
      <c r="BK78" s="517">
        <f t="shared" si="111"/>
        <v>0</v>
      </c>
      <c r="BL78" s="517">
        <f t="shared" si="111"/>
        <v>0</v>
      </c>
      <c r="BM78" s="539">
        <f t="shared" si="111"/>
        <v>0</v>
      </c>
      <c r="CK78" s="57" t="s">
        <v>101</v>
      </c>
      <c r="CL78" s="510">
        <f t="shared" si="117"/>
        <v>0</v>
      </c>
      <c r="CM78" s="511">
        <f>CM9*'3 Saalis'!CK77</f>
        <v>0</v>
      </c>
      <c r="CN78" s="438">
        <f>CN9*'3 Saalis'!CL77</f>
        <v>0</v>
      </c>
      <c r="CO78" s="438">
        <f>CO9*'3 Saalis'!CM77</f>
        <v>0</v>
      </c>
      <c r="CP78" s="438">
        <f>CP9*'3 Saalis'!CN77</f>
        <v>0</v>
      </c>
      <c r="CQ78" s="438">
        <f>CQ9*'3 Saalis'!CO77</f>
        <v>0</v>
      </c>
      <c r="CR78" s="438">
        <f>CR9*'3 Saalis'!CP77</f>
        <v>0</v>
      </c>
      <c r="CS78" s="438">
        <f>CS9*'3 Saalis'!CQ77</f>
        <v>0</v>
      </c>
      <c r="CT78" s="438">
        <f>CT9*'3 Saalis'!CR77</f>
        <v>0</v>
      </c>
      <c r="CU78" s="438">
        <f>CU9*'3 Saalis'!CS77</f>
        <v>0</v>
      </c>
      <c r="CV78" s="438">
        <f>CV9*'3 Saalis'!CT77</f>
        <v>0</v>
      </c>
      <c r="CW78" s="438">
        <f>CW9*'3 Saalis'!CU77</f>
        <v>0</v>
      </c>
      <c r="CX78" s="439">
        <f>CX9*'3 Saalis'!CV77</f>
        <v>0</v>
      </c>
    </row>
    <row r="79" spans="2:102" ht="13.5" thickBot="1" x14ac:dyDescent="0.25">
      <c r="B79" s="40" t="s">
        <v>72</v>
      </c>
      <c r="C79" s="14"/>
      <c r="D79" s="494">
        <f>D70-SUM(D71:D78)</f>
        <v>0</v>
      </c>
      <c r="E79" s="495">
        <f>E70-SUM(E71:E78)</f>
        <v>0</v>
      </c>
      <c r="F79" s="496">
        <f>F70-SUM(F71:F78)</f>
        <v>0</v>
      </c>
      <c r="G79" s="496">
        <f t="shared" ref="G79:O79" si="119">G70-SUM(G71:G78)</f>
        <v>0</v>
      </c>
      <c r="H79" s="496">
        <f t="shared" si="119"/>
        <v>0</v>
      </c>
      <c r="I79" s="496">
        <f t="shared" si="119"/>
        <v>0</v>
      </c>
      <c r="J79" s="496">
        <f t="shared" si="119"/>
        <v>0</v>
      </c>
      <c r="K79" s="496">
        <f t="shared" si="119"/>
        <v>0</v>
      </c>
      <c r="L79" s="496">
        <f t="shared" si="119"/>
        <v>0</v>
      </c>
      <c r="M79" s="496">
        <f t="shared" si="119"/>
        <v>0</v>
      </c>
      <c r="N79" s="496">
        <f t="shared" si="119"/>
        <v>0</v>
      </c>
      <c r="O79" s="496">
        <f t="shared" si="119"/>
        <v>0</v>
      </c>
      <c r="P79" s="497">
        <f>P70-SUM(P71:P78)</f>
        <v>0</v>
      </c>
      <c r="S79" s="258" t="s">
        <v>113</v>
      </c>
      <c r="T79" s="117"/>
      <c r="U79" s="494">
        <f>SUM(U71:U78)</f>
        <v>0</v>
      </c>
      <c r="V79" s="522">
        <f>SUM(V71:V78)</f>
        <v>0</v>
      </c>
      <c r="W79" s="517">
        <f>SUM(W71:W78)</f>
        <v>0</v>
      </c>
      <c r="X79" s="517">
        <f t="shared" ref="X79:AF79" si="120">SUM(X71:X78)</f>
        <v>0</v>
      </c>
      <c r="Y79" s="517">
        <f>SUM(Y71:Y78)</f>
        <v>0</v>
      </c>
      <c r="Z79" s="517">
        <f>SUM(Z71:Z78)</f>
        <v>0</v>
      </c>
      <c r="AA79" s="517">
        <f t="shared" si="120"/>
        <v>0</v>
      </c>
      <c r="AB79" s="517">
        <f t="shared" si="120"/>
        <v>0</v>
      </c>
      <c r="AC79" s="517">
        <f t="shared" si="120"/>
        <v>0</v>
      </c>
      <c r="AD79" s="517">
        <f t="shared" si="120"/>
        <v>0</v>
      </c>
      <c r="AE79" s="517">
        <f t="shared" si="120"/>
        <v>0</v>
      </c>
      <c r="AF79" s="517">
        <f t="shared" si="120"/>
        <v>0</v>
      </c>
      <c r="AG79" s="539">
        <f>SUM(AG71:AG78)</f>
        <v>0</v>
      </c>
      <c r="AI79" s="40" t="s">
        <v>99</v>
      </c>
      <c r="AJ79" s="14"/>
      <c r="AK79" s="586">
        <f>IF(BA70=0,0,BA79/BA70)</f>
        <v>0</v>
      </c>
      <c r="AL79" s="580">
        <f t="shared" ref="AL79:AW79" si="121">IF(BB70=0,0,BB79/BB70)</f>
        <v>0</v>
      </c>
      <c r="AM79" s="581">
        <f t="shared" si="121"/>
        <v>0</v>
      </c>
      <c r="AN79" s="581">
        <f t="shared" si="121"/>
        <v>0</v>
      </c>
      <c r="AO79" s="581">
        <f t="shared" si="121"/>
        <v>0</v>
      </c>
      <c r="AP79" s="581">
        <f t="shared" si="121"/>
        <v>0</v>
      </c>
      <c r="AQ79" s="581">
        <f t="shared" si="121"/>
        <v>0</v>
      </c>
      <c r="AR79" s="581">
        <f t="shared" si="121"/>
        <v>0</v>
      </c>
      <c r="AS79" s="581">
        <f t="shared" si="121"/>
        <v>0</v>
      </c>
      <c r="AT79" s="581">
        <f t="shared" si="121"/>
        <v>0</v>
      </c>
      <c r="AU79" s="581">
        <f t="shared" si="121"/>
        <v>0</v>
      </c>
      <c r="AV79" s="581">
        <f t="shared" si="121"/>
        <v>0</v>
      </c>
      <c r="AW79" s="581">
        <f t="shared" si="121"/>
        <v>0</v>
      </c>
      <c r="AY79" s="40" t="s">
        <v>98</v>
      </c>
      <c r="AZ79" s="14"/>
      <c r="BA79" s="416">
        <f>SUM(BA71:BA78)</f>
        <v>0</v>
      </c>
      <c r="BB79" s="548">
        <f t="shared" ref="BB79:BM79" si="122">SUM(BB71:BB78)</f>
        <v>0</v>
      </c>
      <c r="BC79" s="553">
        <f t="shared" si="122"/>
        <v>0</v>
      </c>
      <c r="BD79" s="553">
        <f t="shared" si="122"/>
        <v>0</v>
      </c>
      <c r="BE79" s="553">
        <f t="shared" si="122"/>
        <v>0</v>
      </c>
      <c r="BF79" s="553">
        <f t="shared" si="122"/>
        <v>0</v>
      </c>
      <c r="BG79" s="553">
        <f t="shared" si="122"/>
        <v>0</v>
      </c>
      <c r="BH79" s="553">
        <f t="shared" si="122"/>
        <v>0</v>
      </c>
      <c r="BI79" s="553">
        <f t="shared" si="122"/>
        <v>0</v>
      </c>
      <c r="BJ79" s="553">
        <f t="shared" si="122"/>
        <v>0</v>
      </c>
      <c r="BK79" s="553">
        <f t="shared" si="122"/>
        <v>0</v>
      </c>
      <c r="BL79" s="553">
        <f t="shared" si="122"/>
        <v>0</v>
      </c>
      <c r="BM79" s="554">
        <f t="shared" si="122"/>
        <v>0</v>
      </c>
      <c r="CK79" s="57" t="s">
        <v>102</v>
      </c>
      <c r="CL79" s="510">
        <f t="shared" si="117"/>
        <v>0</v>
      </c>
      <c r="CM79" s="511">
        <f>CM10*'3 Saalis'!CK78</f>
        <v>0</v>
      </c>
      <c r="CN79" s="438">
        <f>CN10*'3 Saalis'!CL78</f>
        <v>0</v>
      </c>
      <c r="CO79" s="438">
        <f>CO10*'3 Saalis'!CM78</f>
        <v>0</v>
      </c>
      <c r="CP79" s="438">
        <f>CP10*'3 Saalis'!CN78</f>
        <v>0</v>
      </c>
      <c r="CQ79" s="438">
        <f>CQ10*'3 Saalis'!CO78</f>
        <v>0</v>
      </c>
      <c r="CR79" s="438">
        <f>CR10*'3 Saalis'!CP78</f>
        <v>0</v>
      </c>
      <c r="CS79" s="438">
        <f>CS10*'3 Saalis'!CQ78</f>
        <v>0</v>
      </c>
      <c r="CT79" s="438">
        <f>CT10*'3 Saalis'!CR78</f>
        <v>0</v>
      </c>
      <c r="CU79" s="438">
        <f>CU10*'3 Saalis'!CS78</f>
        <v>0</v>
      </c>
      <c r="CV79" s="438">
        <f>CV10*'3 Saalis'!CT78</f>
        <v>0</v>
      </c>
      <c r="CW79" s="438">
        <f>CW10*'3 Saalis'!CU78</f>
        <v>0</v>
      </c>
      <c r="CX79" s="439">
        <f>CX10*'3 Saalis'!CV78</f>
        <v>0</v>
      </c>
    </row>
    <row r="80" spans="2:102" ht="13.5" thickBot="1" x14ac:dyDescent="0.25">
      <c r="E80" s="794" t="str">
        <f t="shared" ref="E80:P80" si="123">IF(E79&lt;0,"Ylimyynti!!!"," ")</f>
        <v xml:space="preserve"> </v>
      </c>
      <c r="F80" s="794" t="str">
        <f t="shared" si="123"/>
        <v xml:space="preserve"> </v>
      </c>
      <c r="G80" s="794" t="str">
        <f t="shared" si="123"/>
        <v xml:space="preserve"> </v>
      </c>
      <c r="H80" s="794" t="str">
        <f t="shared" si="123"/>
        <v xml:space="preserve"> </v>
      </c>
      <c r="I80" s="794" t="str">
        <f t="shared" si="123"/>
        <v xml:space="preserve"> </v>
      </c>
      <c r="J80" s="794" t="str">
        <f t="shared" si="123"/>
        <v xml:space="preserve"> </v>
      </c>
      <c r="K80" s="794" t="str">
        <f t="shared" si="123"/>
        <v xml:space="preserve"> </v>
      </c>
      <c r="L80" s="794" t="str">
        <f t="shared" si="123"/>
        <v xml:space="preserve"> </v>
      </c>
      <c r="M80" s="794" t="str">
        <f t="shared" si="123"/>
        <v xml:space="preserve"> </v>
      </c>
      <c r="N80" s="794" t="str">
        <f t="shared" si="123"/>
        <v xml:space="preserve"> </v>
      </c>
      <c r="O80" s="794" t="str">
        <f t="shared" si="123"/>
        <v xml:space="preserve"> </v>
      </c>
      <c r="P80" s="794" t="str">
        <f t="shared" si="123"/>
        <v xml:space="preserve"> </v>
      </c>
      <c r="CK80" s="57" t="s">
        <v>103</v>
      </c>
      <c r="CL80" s="510">
        <f t="shared" si="117"/>
        <v>0</v>
      </c>
      <c r="CM80" s="511">
        <f>CM11*'3 Saalis'!CK79</f>
        <v>0</v>
      </c>
      <c r="CN80" s="438">
        <f>CN11*'3 Saalis'!CL79</f>
        <v>0</v>
      </c>
      <c r="CO80" s="438">
        <f>CO11*'3 Saalis'!CM79</f>
        <v>0</v>
      </c>
      <c r="CP80" s="438">
        <f>CP11*'3 Saalis'!CN79</f>
        <v>0</v>
      </c>
      <c r="CQ80" s="438">
        <f>CQ11*'3 Saalis'!CO79</f>
        <v>0</v>
      </c>
      <c r="CR80" s="438">
        <f>CR11*'3 Saalis'!CP79</f>
        <v>0</v>
      </c>
      <c r="CS80" s="438">
        <f>CS11*'3 Saalis'!CQ79</f>
        <v>0</v>
      </c>
      <c r="CT80" s="438">
        <f>CT11*'3 Saalis'!CR79</f>
        <v>0</v>
      </c>
      <c r="CU80" s="438">
        <f>CU11*'3 Saalis'!CS79</f>
        <v>0</v>
      </c>
      <c r="CV80" s="438">
        <f>CV11*'3 Saalis'!CT79</f>
        <v>0</v>
      </c>
      <c r="CW80" s="438">
        <f>CW11*'3 Saalis'!CU79</f>
        <v>0</v>
      </c>
      <c r="CX80" s="439">
        <f>CX11*'3 Saalis'!CV79</f>
        <v>0</v>
      </c>
    </row>
    <row r="81" spans="2:102" ht="13.5" thickBot="1" x14ac:dyDescent="0.25">
      <c r="B81" s="5" t="s">
        <v>85</v>
      </c>
      <c r="C81" s="36"/>
      <c r="D81" s="249" t="s">
        <v>40</v>
      </c>
      <c r="E81" s="245"/>
      <c r="F81" s="246"/>
      <c r="G81" s="246"/>
      <c r="H81" s="246"/>
      <c r="I81" s="246"/>
      <c r="J81" s="219" t="s">
        <v>42</v>
      </c>
      <c r="K81" s="246"/>
      <c r="L81" s="246"/>
      <c r="M81" s="246"/>
      <c r="N81" s="246"/>
      <c r="O81" s="246"/>
      <c r="P81" s="247"/>
      <c r="Q81" s="250"/>
      <c r="S81" s="251" t="s">
        <v>85</v>
      </c>
      <c r="T81" s="252"/>
      <c r="U81" s="249" t="s">
        <v>40</v>
      </c>
      <c r="V81" s="245"/>
      <c r="W81" s="246"/>
      <c r="X81" s="246"/>
      <c r="Y81" s="246"/>
      <c r="Z81" s="246"/>
      <c r="AA81" s="219" t="s">
        <v>42</v>
      </c>
      <c r="AB81" s="246"/>
      <c r="AC81" s="246"/>
      <c r="AD81" s="246"/>
      <c r="AE81" s="246"/>
      <c r="AF81" s="246"/>
      <c r="AG81" s="247"/>
      <c r="AI81" s="5" t="s">
        <v>85</v>
      </c>
      <c r="AJ81" s="36"/>
      <c r="AK81" s="51" t="s">
        <v>40</v>
      </c>
      <c r="AL81" s="47"/>
      <c r="AM81" s="48"/>
      <c r="AN81" s="48"/>
      <c r="AO81" s="48"/>
      <c r="AP81" s="48"/>
      <c r="AQ81" s="41" t="s">
        <v>42</v>
      </c>
      <c r="AR81" s="48"/>
      <c r="AS81" s="48"/>
      <c r="AT81" s="48"/>
      <c r="AU81" s="48"/>
      <c r="AV81" s="48"/>
      <c r="AW81" s="49"/>
      <c r="AY81" s="5" t="s">
        <v>85</v>
      </c>
      <c r="AZ81" s="36"/>
      <c r="BA81" s="249" t="s">
        <v>40</v>
      </c>
      <c r="BB81" s="245"/>
      <c r="BC81" s="246"/>
      <c r="BD81" s="246"/>
      <c r="BE81" s="246"/>
      <c r="BF81" s="246"/>
      <c r="BG81" s="219" t="s">
        <v>42</v>
      </c>
      <c r="BH81" s="246"/>
      <c r="BI81" s="246"/>
      <c r="BJ81" s="246"/>
      <c r="BK81" s="246"/>
      <c r="BL81" s="246"/>
      <c r="BM81" s="247"/>
      <c r="CK81" s="57" t="s">
        <v>104</v>
      </c>
      <c r="CL81" s="510">
        <f t="shared" si="117"/>
        <v>0</v>
      </c>
      <c r="CM81" s="511">
        <f>CM12*'3 Saalis'!CK80</f>
        <v>0</v>
      </c>
      <c r="CN81" s="438">
        <f>CN12*'3 Saalis'!CL80</f>
        <v>0</v>
      </c>
      <c r="CO81" s="438">
        <f>CO12*'3 Saalis'!CM80</f>
        <v>0</v>
      </c>
      <c r="CP81" s="438">
        <f>CP12*'3 Saalis'!CN80</f>
        <v>0</v>
      </c>
      <c r="CQ81" s="438">
        <f>CQ12*'3 Saalis'!CO80</f>
        <v>0</v>
      </c>
      <c r="CR81" s="438">
        <f>CR12*'3 Saalis'!CP80</f>
        <v>0</v>
      </c>
      <c r="CS81" s="438">
        <f>CS12*'3 Saalis'!CQ80</f>
        <v>0</v>
      </c>
      <c r="CT81" s="438">
        <f>CT12*'3 Saalis'!CR80</f>
        <v>0</v>
      </c>
      <c r="CU81" s="438">
        <f>CU12*'3 Saalis'!CS80</f>
        <v>0</v>
      </c>
      <c r="CV81" s="438">
        <f>CV12*'3 Saalis'!CT80</f>
        <v>0</v>
      </c>
      <c r="CW81" s="438">
        <f>CW12*'3 Saalis'!CU80</f>
        <v>0</v>
      </c>
      <c r="CX81" s="439">
        <f>CX12*'3 Saalis'!CV80</f>
        <v>0</v>
      </c>
    </row>
    <row r="82" spans="2:102" ht="13.5" thickBot="1" x14ac:dyDescent="0.25">
      <c r="B82" s="57"/>
      <c r="C82" s="59"/>
      <c r="D82" s="253" t="s">
        <v>41</v>
      </c>
      <c r="E82" s="254">
        <v>1</v>
      </c>
      <c r="F82" s="70">
        <v>2</v>
      </c>
      <c r="G82" s="70">
        <v>3</v>
      </c>
      <c r="H82" s="70">
        <v>4</v>
      </c>
      <c r="I82" s="70">
        <v>5</v>
      </c>
      <c r="J82" s="70">
        <v>6</v>
      </c>
      <c r="K82" s="70">
        <v>7</v>
      </c>
      <c r="L82" s="70">
        <v>8</v>
      </c>
      <c r="M82" s="70">
        <v>9</v>
      </c>
      <c r="N82" s="70">
        <v>10</v>
      </c>
      <c r="O82" s="70">
        <v>11</v>
      </c>
      <c r="P82" s="71">
        <v>12</v>
      </c>
      <c r="Q82" s="87"/>
      <c r="S82" s="255"/>
      <c r="T82" s="256"/>
      <c r="U82" s="253" t="s">
        <v>41</v>
      </c>
      <c r="V82" s="254">
        <v>1</v>
      </c>
      <c r="W82" s="70">
        <v>2</v>
      </c>
      <c r="X82" s="70">
        <v>3</v>
      </c>
      <c r="Y82" s="70">
        <v>4</v>
      </c>
      <c r="Z82" s="70">
        <v>5</v>
      </c>
      <c r="AA82" s="70">
        <v>6</v>
      </c>
      <c r="AB82" s="70">
        <v>7</v>
      </c>
      <c r="AC82" s="70">
        <v>8</v>
      </c>
      <c r="AD82" s="70">
        <v>9</v>
      </c>
      <c r="AE82" s="70">
        <v>10</v>
      </c>
      <c r="AF82" s="70">
        <v>11</v>
      </c>
      <c r="AG82" s="71">
        <v>12</v>
      </c>
      <c r="AI82" s="57"/>
      <c r="AJ82" s="59"/>
      <c r="AK82" s="69" t="s">
        <v>41</v>
      </c>
      <c r="AL82" s="72">
        <v>1</v>
      </c>
      <c r="AM82" s="70">
        <v>2</v>
      </c>
      <c r="AN82" s="70">
        <v>3</v>
      </c>
      <c r="AO82" s="70">
        <v>4</v>
      </c>
      <c r="AP82" s="70">
        <v>5</v>
      </c>
      <c r="AQ82" s="70">
        <v>6</v>
      </c>
      <c r="AR82" s="70">
        <v>7</v>
      </c>
      <c r="AS82" s="70">
        <v>8</v>
      </c>
      <c r="AT82" s="70">
        <v>9</v>
      </c>
      <c r="AU82" s="70">
        <v>10</v>
      </c>
      <c r="AV82" s="70">
        <v>11</v>
      </c>
      <c r="AW82" s="71">
        <v>12</v>
      </c>
      <c r="AY82" s="57"/>
      <c r="AZ82" s="59"/>
      <c r="BA82" s="253" t="s">
        <v>41</v>
      </c>
      <c r="BB82" s="254">
        <v>1</v>
      </c>
      <c r="BC82" s="70">
        <v>2</v>
      </c>
      <c r="BD82" s="70">
        <v>3</v>
      </c>
      <c r="BE82" s="70">
        <v>4</v>
      </c>
      <c r="BF82" s="70">
        <v>5</v>
      </c>
      <c r="BG82" s="70">
        <v>6</v>
      </c>
      <c r="BH82" s="70">
        <v>7</v>
      </c>
      <c r="BI82" s="70">
        <v>8</v>
      </c>
      <c r="BJ82" s="70">
        <v>9</v>
      </c>
      <c r="BK82" s="70">
        <v>10</v>
      </c>
      <c r="BL82" s="70">
        <v>11</v>
      </c>
      <c r="BM82" s="71">
        <v>12</v>
      </c>
      <c r="CK82" s="57" t="s">
        <v>105</v>
      </c>
      <c r="CL82" s="510">
        <f t="shared" si="117"/>
        <v>0</v>
      </c>
      <c r="CM82" s="511">
        <f>CM13*'3 Saalis'!CK81</f>
        <v>0</v>
      </c>
      <c r="CN82" s="438">
        <f>CN13*'3 Saalis'!CL81</f>
        <v>0</v>
      </c>
      <c r="CO82" s="438">
        <f>CO13*'3 Saalis'!CM81</f>
        <v>0</v>
      </c>
      <c r="CP82" s="438">
        <f>CP13*'3 Saalis'!CN81</f>
        <v>0</v>
      </c>
      <c r="CQ82" s="438">
        <f>CQ13*'3 Saalis'!CO81</f>
        <v>0</v>
      </c>
      <c r="CR82" s="438">
        <f>CR13*'3 Saalis'!CP81</f>
        <v>0</v>
      </c>
      <c r="CS82" s="438">
        <f>CS13*'3 Saalis'!CQ81</f>
        <v>0</v>
      </c>
      <c r="CT82" s="438">
        <f>CT13*'3 Saalis'!CR81</f>
        <v>0</v>
      </c>
      <c r="CU82" s="438">
        <f>CU13*'3 Saalis'!CS81</f>
        <v>0</v>
      </c>
      <c r="CV82" s="438">
        <f>CV13*'3 Saalis'!CT81</f>
        <v>0</v>
      </c>
      <c r="CW82" s="438">
        <f>CW13*'3 Saalis'!CU81</f>
        <v>0</v>
      </c>
      <c r="CX82" s="439">
        <f>CX13*'3 Saalis'!CV81</f>
        <v>0</v>
      </c>
    </row>
    <row r="83" spans="2:102" ht="13.5" thickBot="1" x14ac:dyDescent="0.25">
      <c r="B83" s="8" t="s">
        <v>73</v>
      </c>
      <c r="C83" s="41"/>
      <c r="D83" s="427">
        <f>'3 Saalis'!D13</f>
        <v>0</v>
      </c>
      <c r="E83" s="503">
        <f>'3 Saalis'!E13</f>
        <v>0</v>
      </c>
      <c r="F83" s="453">
        <f>'3 Saalis'!F13</f>
        <v>0</v>
      </c>
      <c r="G83" s="453">
        <f>'3 Saalis'!G13</f>
        <v>0</v>
      </c>
      <c r="H83" s="453">
        <f>'3 Saalis'!H13</f>
        <v>0</v>
      </c>
      <c r="I83" s="453">
        <f>'3 Saalis'!I13</f>
        <v>0</v>
      </c>
      <c r="J83" s="453">
        <f>'3 Saalis'!J13</f>
        <v>0</v>
      </c>
      <c r="K83" s="453">
        <f>'3 Saalis'!K13</f>
        <v>0</v>
      </c>
      <c r="L83" s="453">
        <f>'3 Saalis'!L13</f>
        <v>0</v>
      </c>
      <c r="M83" s="453">
        <f>'3 Saalis'!M13</f>
        <v>0</v>
      </c>
      <c r="N83" s="453">
        <f>'3 Saalis'!N13</f>
        <v>0</v>
      </c>
      <c r="O83" s="453">
        <f>'3 Saalis'!O13</f>
        <v>0</v>
      </c>
      <c r="P83" s="454">
        <f>'3 Saalis'!P13</f>
        <v>0</v>
      </c>
      <c r="Q83" s="257"/>
      <c r="S83" s="260" t="s">
        <v>73</v>
      </c>
      <c r="T83" s="219"/>
      <c r="U83" s="423">
        <f t="shared" ref="U83:AG83" si="124">D83</f>
        <v>0</v>
      </c>
      <c r="V83" s="503">
        <f t="shared" si="124"/>
        <v>0</v>
      </c>
      <c r="W83" s="453">
        <f t="shared" si="124"/>
        <v>0</v>
      </c>
      <c r="X83" s="453">
        <f t="shared" si="124"/>
        <v>0</v>
      </c>
      <c r="Y83" s="453">
        <f t="shared" si="124"/>
        <v>0</v>
      </c>
      <c r="Z83" s="453">
        <f t="shared" si="124"/>
        <v>0</v>
      </c>
      <c r="AA83" s="453">
        <f t="shared" si="124"/>
        <v>0</v>
      </c>
      <c r="AB83" s="453">
        <f t="shared" si="124"/>
        <v>0</v>
      </c>
      <c r="AC83" s="453">
        <f t="shared" si="124"/>
        <v>0</v>
      </c>
      <c r="AD83" s="453">
        <f t="shared" si="124"/>
        <v>0</v>
      </c>
      <c r="AE83" s="453">
        <f t="shared" si="124"/>
        <v>0</v>
      </c>
      <c r="AF83" s="453">
        <f t="shared" si="124"/>
        <v>0</v>
      </c>
      <c r="AG83" s="454">
        <f t="shared" si="124"/>
        <v>0</v>
      </c>
      <c r="AI83" s="8" t="s">
        <v>73</v>
      </c>
      <c r="AJ83" s="41"/>
      <c r="AK83" s="424">
        <f t="shared" ref="AK83:AW83" si="125">D83</f>
        <v>0</v>
      </c>
      <c r="AL83" s="589">
        <f t="shared" si="125"/>
        <v>0</v>
      </c>
      <c r="AM83" s="589">
        <f t="shared" si="125"/>
        <v>0</v>
      </c>
      <c r="AN83" s="589">
        <f t="shared" si="125"/>
        <v>0</v>
      </c>
      <c r="AO83" s="589">
        <f t="shared" si="125"/>
        <v>0</v>
      </c>
      <c r="AP83" s="589">
        <f t="shared" si="125"/>
        <v>0</v>
      </c>
      <c r="AQ83" s="589">
        <f t="shared" si="125"/>
        <v>0</v>
      </c>
      <c r="AR83" s="589">
        <f t="shared" si="125"/>
        <v>0</v>
      </c>
      <c r="AS83" s="589">
        <f t="shared" si="125"/>
        <v>0</v>
      </c>
      <c r="AT83" s="589">
        <f t="shared" si="125"/>
        <v>0</v>
      </c>
      <c r="AU83" s="589">
        <f t="shared" si="125"/>
        <v>0</v>
      </c>
      <c r="AV83" s="589">
        <f t="shared" si="125"/>
        <v>0</v>
      </c>
      <c r="AW83" s="1135">
        <f t="shared" si="125"/>
        <v>0</v>
      </c>
      <c r="AY83" s="5" t="s">
        <v>73</v>
      </c>
      <c r="AZ83" s="13"/>
      <c r="BA83" s="427">
        <f t="shared" ref="BA83:BM83" si="126">AK83</f>
        <v>0</v>
      </c>
      <c r="BB83" s="487">
        <f t="shared" si="126"/>
        <v>0</v>
      </c>
      <c r="BC83" s="488">
        <f t="shared" si="126"/>
        <v>0</v>
      </c>
      <c r="BD83" s="488">
        <f t="shared" si="126"/>
        <v>0</v>
      </c>
      <c r="BE83" s="488">
        <f t="shared" si="126"/>
        <v>0</v>
      </c>
      <c r="BF83" s="488">
        <f t="shared" si="126"/>
        <v>0</v>
      </c>
      <c r="BG83" s="488">
        <f t="shared" si="126"/>
        <v>0</v>
      </c>
      <c r="BH83" s="488">
        <f t="shared" si="126"/>
        <v>0</v>
      </c>
      <c r="BI83" s="488">
        <f t="shared" si="126"/>
        <v>0</v>
      </c>
      <c r="BJ83" s="488">
        <f t="shared" si="126"/>
        <v>0</v>
      </c>
      <c r="BK83" s="488">
        <f t="shared" si="126"/>
        <v>0</v>
      </c>
      <c r="BL83" s="488">
        <f t="shared" si="126"/>
        <v>0</v>
      </c>
      <c r="BM83" s="489">
        <f t="shared" si="126"/>
        <v>0</v>
      </c>
      <c r="CK83" s="57" t="s">
        <v>106</v>
      </c>
      <c r="CL83" s="510">
        <f t="shared" si="117"/>
        <v>0</v>
      </c>
      <c r="CM83" s="511">
        <f>CM14*'3 Saalis'!CK82</f>
        <v>0</v>
      </c>
      <c r="CN83" s="438">
        <f>CN14*'3 Saalis'!CL82</f>
        <v>0</v>
      </c>
      <c r="CO83" s="438">
        <f>CO14*'3 Saalis'!CM82</f>
        <v>0</v>
      </c>
      <c r="CP83" s="438">
        <f>CP14*'3 Saalis'!CN82</f>
        <v>0</v>
      </c>
      <c r="CQ83" s="438">
        <f>CQ14*'3 Saalis'!CO82</f>
        <v>0</v>
      </c>
      <c r="CR83" s="438">
        <f>CR14*'3 Saalis'!CP82</f>
        <v>0</v>
      </c>
      <c r="CS83" s="438">
        <f>CS14*'3 Saalis'!CQ82</f>
        <v>0</v>
      </c>
      <c r="CT83" s="438">
        <f>CT14*'3 Saalis'!CR82</f>
        <v>0</v>
      </c>
      <c r="CU83" s="438">
        <f>CU14*'3 Saalis'!CS82</f>
        <v>0</v>
      </c>
      <c r="CV83" s="438">
        <f>CV14*'3 Saalis'!CT82</f>
        <v>0</v>
      </c>
      <c r="CW83" s="438">
        <f>CW14*'3 Saalis'!CU82</f>
        <v>0</v>
      </c>
      <c r="CX83" s="439">
        <f>CX14*'3 Saalis'!CV82</f>
        <v>0</v>
      </c>
    </row>
    <row r="84" spans="2:102" x14ac:dyDescent="0.2">
      <c r="B84" s="5" t="s">
        <v>64</v>
      </c>
      <c r="C84" s="13" t="s">
        <v>76</v>
      </c>
      <c r="D84" s="449">
        <f t="shared" ref="D84:D102" si="127">SUM(E84:P84)</f>
        <v>0</v>
      </c>
      <c r="E84" s="1470"/>
      <c r="F84" s="1471"/>
      <c r="G84" s="1471"/>
      <c r="H84" s="1471"/>
      <c r="I84" s="1471"/>
      <c r="J84" s="1471"/>
      <c r="K84" s="1471"/>
      <c r="L84" s="1471"/>
      <c r="M84" s="1471"/>
      <c r="N84" s="1471"/>
      <c r="O84" s="1471"/>
      <c r="P84" s="1472"/>
      <c r="S84" s="251" t="s">
        <v>64</v>
      </c>
      <c r="T84" s="268" t="s">
        <v>76</v>
      </c>
      <c r="U84" s="505">
        <f>SUM(V84:AG84)</f>
        <v>0</v>
      </c>
      <c r="V84" s="519">
        <f t="shared" ref="V84:AG84" si="128">E84</f>
        <v>0</v>
      </c>
      <c r="W84" s="499">
        <f t="shared" si="128"/>
        <v>0</v>
      </c>
      <c r="X84" s="499">
        <f t="shared" si="128"/>
        <v>0</v>
      </c>
      <c r="Y84" s="499">
        <f t="shared" si="128"/>
        <v>0</v>
      </c>
      <c r="Z84" s="499">
        <f t="shared" si="128"/>
        <v>0</v>
      </c>
      <c r="AA84" s="499">
        <f t="shared" si="128"/>
        <v>0</v>
      </c>
      <c r="AB84" s="499">
        <f t="shared" si="128"/>
        <v>0</v>
      </c>
      <c r="AC84" s="499">
        <f t="shared" si="128"/>
        <v>0</v>
      </c>
      <c r="AD84" s="499">
        <f t="shared" si="128"/>
        <v>0</v>
      </c>
      <c r="AE84" s="499">
        <f t="shared" si="128"/>
        <v>0</v>
      </c>
      <c r="AF84" s="499">
        <f t="shared" si="128"/>
        <v>0</v>
      </c>
      <c r="AG84" s="520">
        <f t="shared" si="128"/>
        <v>0</v>
      </c>
      <c r="AI84" s="5" t="s">
        <v>64</v>
      </c>
      <c r="AJ84" s="13" t="s">
        <v>76</v>
      </c>
      <c r="AK84" s="584">
        <f>IF(D84=0,0,BA84/D84)</f>
        <v>0</v>
      </c>
      <c r="AL84" s="1511">
        <v>2</v>
      </c>
      <c r="AM84" s="1511">
        <v>2</v>
      </c>
      <c r="AN84" s="1511">
        <v>2</v>
      </c>
      <c r="AO84" s="1511">
        <v>2</v>
      </c>
      <c r="AP84" s="1511">
        <v>2</v>
      </c>
      <c r="AQ84" s="1511">
        <v>2</v>
      </c>
      <c r="AR84" s="1511">
        <v>2</v>
      </c>
      <c r="AS84" s="1511">
        <v>2</v>
      </c>
      <c r="AT84" s="1511">
        <v>2</v>
      </c>
      <c r="AU84" s="1511">
        <v>2</v>
      </c>
      <c r="AV84" s="1511">
        <v>2</v>
      </c>
      <c r="AW84" s="1498">
        <v>2</v>
      </c>
      <c r="AY84" s="5" t="s">
        <v>64</v>
      </c>
      <c r="AZ84" s="36" t="s">
        <v>76</v>
      </c>
      <c r="BA84" s="544">
        <f t="shared" ref="BA84:BA102" si="129">SUM(BB84:BM84)</f>
        <v>0</v>
      </c>
      <c r="BB84" s="519">
        <f>V84*AL84</f>
        <v>0</v>
      </c>
      <c r="BC84" s="500">
        <f t="shared" ref="BC84:BM99" si="130">W84*AM84</f>
        <v>0</v>
      </c>
      <c r="BD84" s="500">
        <f t="shared" si="130"/>
        <v>0</v>
      </c>
      <c r="BE84" s="500">
        <f t="shared" si="130"/>
        <v>0</v>
      </c>
      <c r="BF84" s="500">
        <f t="shared" si="130"/>
        <v>0</v>
      </c>
      <c r="BG84" s="500">
        <f t="shared" si="130"/>
        <v>0</v>
      </c>
      <c r="BH84" s="500">
        <f t="shared" si="130"/>
        <v>0</v>
      </c>
      <c r="BI84" s="500">
        <f t="shared" si="130"/>
        <v>0</v>
      </c>
      <c r="BJ84" s="500">
        <f t="shared" si="130"/>
        <v>0</v>
      </c>
      <c r="BK84" s="500">
        <f t="shared" si="130"/>
        <v>0</v>
      </c>
      <c r="BL84" s="500">
        <f t="shared" si="130"/>
        <v>0</v>
      </c>
      <c r="BM84" s="529">
        <f t="shared" si="130"/>
        <v>0</v>
      </c>
      <c r="CK84" s="57" t="s">
        <v>37</v>
      </c>
      <c r="CL84" s="510">
        <f t="shared" si="117"/>
        <v>0</v>
      </c>
      <c r="CM84" s="511">
        <f>CM15*'3 Saalis'!CK83</f>
        <v>0</v>
      </c>
      <c r="CN84" s="438">
        <f>CN15*'3 Saalis'!CL83</f>
        <v>0</v>
      </c>
      <c r="CO84" s="438">
        <f>CO15*'3 Saalis'!CM83</f>
        <v>0</v>
      </c>
      <c r="CP84" s="438">
        <f>CP15*'3 Saalis'!CN83</f>
        <v>0</v>
      </c>
      <c r="CQ84" s="438">
        <f>CQ15*'3 Saalis'!CO83</f>
        <v>0</v>
      </c>
      <c r="CR84" s="438">
        <f>CR15*'3 Saalis'!CP83</f>
        <v>0</v>
      </c>
      <c r="CS84" s="438">
        <f>CS15*'3 Saalis'!CQ83</f>
        <v>0</v>
      </c>
      <c r="CT84" s="438">
        <f>CT15*'3 Saalis'!CR83</f>
        <v>0</v>
      </c>
      <c r="CU84" s="438">
        <f>CU15*'3 Saalis'!CS83</f>
        <v>0</v>
      </c>
      <c r="CV84" s="438">
        <f>CV15*'3 Saalis'!CT83</f>
        <v>0</v>
      </c>
      <c r="CW84" s="438">
        <f>CW15*'3 Saalis'!CU83</f>
        <v>0</v>
      </c>
      <c r="CX84" s="439">
        <f>CX15*'3 Saalis'!CV83</f>
        <v>0</v>
      </c>
    </row>
    <row r="85" spans="2:102" x14ac:dyDescent="0.2">
      <c r="B85" s="57"/>
      <c r="C85" s="68" t="s">
        <v>115</v>
      </c>
      <c r="D85" s="505">
        <f t="shared" si="127"/>
        <v>0</v>
      </c>
      <c r="E85" s="1493"/>
      <c r="F85" s="1488"/>
      <c r="G85" s="1488"/>
      <c r="H85" s="1488"/>
      <c r="I85" s="1488"/>
      <c r="J85" s="1488"/>
      <c r="K85" s="1488"/>
      <c r="L85" s="1488"/>
      <c r="M85" s="1488"/>
      <c r="N85" s="1488"/>
      <c r="O85" s="1488"/>
      <c r="P85" s="1489"/>
      <c r="S85" s="255"/>
      <c r="T85" s="267" t="s">
        <v>115</v>
      </c>
      <c r="U85" s="505">
        <f>SUM(V85:AG85)</f>
        <v>0</v>
      </c>
      <c r="V85" s="533">
        <f>E85*'5 Kalan alkukäsittely satamassa'!$D$11</f>
        <v>0</v>
      </c>
      <c r="W85" s="516">
        <f>F85*'5 Kalan alkukäsittely satamassa'!$D$11</f>
        <v>0</v>
      </c>
      <c r="X85" s="516">
        <f>G85*'5 Kalan alkukäsittely satamassa'!$D$11</f>
        <v>0</v>
      </c>
      <c r="Y85" s="516">
        <f>H85*'5 Kalan alkukäsittely satamassa'!$D$11</f>
        <v>0</v>
      </c>
      <c r="Z85" s="516">
        <f>I85*'5 Kalan alkukäsittely satamassa'!$D$11</f>
        <v>0</v>
      </c>
      <c r="AA85" s="516">
        <f>J85*'5 Kalan alkukäsittely satamassa'!$D$11</f>
        <v>0</v>
      </c>
      <c r="AB85" s="516">
        <f>K85*'5 Kalan alkukäsittely satamassa'!$D$11</f>
        <v>0</v>
      </c>
      <c r="AC85" s="516">
        <f>L85*'5 Kalan alkukäsittely satamassa'!$D$11</f>
        <v>0</v>
      </c>
      <c r="AD85" s="516">
        <f>M85*'5 Kalan alkukäsittely satamassa'!$D$11</f>
        <v>0</v>
      </c>
      <c r="AE85" s="516">
        <f>N85*'5 Kalan alkukäsittely satamassa'!$D$11</f>
        <v>0</v>
      </c>
      <c r="AF85" s="516">
        <f>O85*'5 Kalan alkukäsittely satamassa'!$D$11</f>
        <v>0</v>
      </c>
      <c r="AG85" s="490">
        <f>P85*'5 Kalan alkukäsittely satamassa'!$D$11</f>
        <v>0</v>
      </c>
      <c r="AI85" s="57"/>
      <c r="AJ85" s="68" t="s">
        <v>115</v>
      </c>
      <c r="AK85" s="590">
        <f>IF(D85=0,0,BA85/D85)</f>
        <v>0</v>
      </c>
      <c r="AL85" s="1507">
        <v>8.9600000000000009</v>
      </c>
      <c r="AM85" s="1507">
        <v>8.9600000000000009</v>
      </c>
      <c r="AN85" s="1507">
        <v>9.11</v>
      </c>
      <c r="AO85" s="1507">
        <v>6.58</v>
      </c>
      <c r="AP85" s="1507">
        <v>6.44</v>
      </c>
      <c r="AQ85" s="1507">
        <v>6.48</v>
      </c>
      <c r="AR85" s="1507">
        <v>6.48</v>
      </c>
      <c r="AS85" s="1507">
        <v>5.86</v>
      </c>
      <c r="AT85" s="1507">
        <v>5.31</v>
      </c>
      <c r="AU85" s="1507">
        <v>5.95</v>
      </c>
      <c r="AV85" s="1507">
        <v>4.29</v>
      </c>
      <c r="AW85" s="1507">
        <v>4.29</v>
      </c>
      <c r="AY85" s="57"/>
      <c r="AZ85" s="68" t="s">
        <v>115</v>
      </c>
      <c r="BA85" s="452">
        <f t="shared" si="129"/>
        <v>0</v>
      </c>
      <c r="BB85" s="530">
        <f t="shared" ref="BB85:BB104" si="131">V85*AL85</f>
        <v>0</v>
      </c>
      <c r="BC85" s="524">
        <f t="shared" si="130"/>
        <v>0</v>
      </c>
      <c r="BD85" s="524">
        <f t="shared" si="130"/>
        <v>0</v>
      </c>
      <c r="BE85" s="524">
        <f t="shared" si="130"/>
        <v>0</v>
      </c>
      <c r="BF85" s="524">
        <f t="shared" si="130"/>
        <v>0</v>
      </c>
      <c r="BG85" s="524">
        <f t="shared" si="130"/>
        <v>0</v>
      </c>
      <c r="BH85" s="524">
        <f t="shared" si="130"/>
        <v>0</v>
      </c>
      <c r="BI85" s="524">
        <f t="shared" si="130"/>
        <v>0</v>
      </c>
      <c r="BJ85" s="524">
        <f t="shared" si="130"/>
        <v>0</v>
      </c>
      <c r="BK85" s="524">
        <f t="shared" si="130"/>
        <v>0</v>
      </c>
      <c r="BL85" s="524">
        <f t="shared" si="130"/>
        <v>0</v>
      </c>
      <c r="BM85" s="525">
        <f t="shared" si="130"/>
        <v>0</v>
      </c>
      <c r="CK85" s="57" t="s">
        <v>36</v>
      </c>
      <c r="CL85" s="510">
        <f t="shared" si="117"/>
        <v>0</v>
      </c>
      <c r="CM85" s="511">
        <f>CM16*'3 Saalis'!CK84</f>
        <v>0</v>
      </c>
      <c r="CN85" s="438">
        <f>CN16*'3 Saalis'!CL84</f>
        <v>0</v>
      </c>
      <c r="CO85" s="438">
        <f>CO16*'3 Saalis'!CM84</f>
        <v>0</v>
      </c>
      <c r="CP85" s="438">
        <f>CP16*'3 Saalis'!CN84</f>
        <v>0</v>
      </c>
      <c r="CQ85" s="438">
        <f>CQ16*'3 Saalis'!CO84</f>
        <v>0</v>
      </c>
      <c r="CR85" s="438">
        <f>CR16*'3 Saalis'!CP84</f>
        <v>0</v>
      </c>
      <c r="CS85" s="438">
        <f>CS16*'3 Saalis'!CQ84</f>
        <v>0</v>
      </c>
      <c r="CT85" s="438">
        <f>CT16*'3 Saalis'!CR84</f>
        <v>0</v>
      </c>
      <c r="CU85" s="438">
        <f>CU16*'3 Saalis'!CS84</f>
        <v>0</v>
      </c>
      <c r="CV85" s="438">
        <f>CV16*'3 Saalis'!CT84</f>
        <v>0</v>
      </c>
      <c r="CW85" s="438">
        <f>CW16*'3 Saalis'!CU84</f>
        <v>0</v>
      </c>
      <c r="CX85" s="439">
        <f>CX16*'3 Saalis'!CV84</f>
        <v>0</v>
      </c>
    </row>
    <row r="86" spans="2:102" x14ac:dyDescent="0.2">
      <c r="B86" s="57"/>
      <c r="C86" s="68" t="s">
        <v>116</v>
      </c>
      <c r="D86" s="450">
        <f t="shared" si="127"/>
        <v>0</v>
      </c>
      <c r="E86" s="1470"/>
      <c r="F86" s="1471"/>
      <c r="G86" s="1471"/>
      <c r="H86" s="1471"/>
      <c r="I86" s="1471"/>
      <c r="J86" s="1471"/>
      <c r="K86" s="1471"/>
      <c r="L86" s="1471"/>
      <c r="M86" s="1471"/>
      <c r="N86" s="1471"/>
      <c r="O86" s="1471"/>
      <c r="P86" s="1472"/>
      <c r="S86" s="255"/>
      <c r="T86" s="267" t="s">
        <v>116</v>
      </c>
      <c r="U86" s="450">
        <f>SUM(V86:AG86)</f>
        <v>0</v>
      </c>
      <c r="V86" s="533">
        <f>E86*'5 Kalan alkukäsittely satamassa'!$D$12</f>
        <v>0</v>
      </c>
      <c r="W86" s="516">
        <f>F86*'5 Kalan alkukäsittely satamassa'!$D$12</f>
        <v>0</v>
      </c>
      <c r="X86" s="516">
        <f>G86*'5 Kalan alkukäsittely satamassa'!$D$12</f>
        <v>0</v>
      </c>
      <c r="Y86" s="516">
        <f>H86*'5 Kalan alkukäsittely satamassa'!$D$12</f>
        <v>0</v>
      </c>
      <c r="Z86" s="516">
        <f>I86*'5 Kalan alkukäsittely satamassa'!$D$12</f>
        <v>0</v>
      </c>
      <c r="AA86" s="516">
        <f>J86*'5 Kalan alkukäsittely satamassa'!$D$12</f>
        <v>0</v>
      </c>
      <c r="AB86" s="516">
        <f>K86*'5 Kalan alkukäsittely satamassa'!$D$12</f>
        <v>0</v>
      </c>
      <c r="AC86" s="516">
        <f>L86*'5 Kalan alkukäsittely satamassa'!$D$12</f>
        <v>0</v>
      </c>
      <c r="AD86" s="516">
        <f>M86*'5 Kalan alkukäsittely satamassa'!$D$12</f>
        <v>0</v>
      </c>
      <c r="AE86" s="516">
        <f>N86*'5 Kalan alkukäsittely satamassa'!$D$12</f>
        <v>0</v>
      </c>
      <c r="AF86" s="516">
        <f>O86*'5 Kalan alkukäsittely satamassa'!$D$12</f>
        <v>0</v>
      </c>
      <c r="AG86" s="490">
        <f>P86*'5 Kalan alkukäsittely satamassa'!$D$12</f>
        <v>0</v>
      </c>
      <c r="AI86" s="57"/>
      <c r="AJ86" s="68" t="s">
        <v>116</v>
      </c>
      <c r="AK86" s="590">
        <f t="shared" ref="AK86:AK103" si="132">IF(D86=0,0,BA86/D86)</f>
        <v>0</v>
      </c>
      <c r="AL86" s="1501">
        <v>5.55</v>
      </c>
      <c r="AM86" s="1502">
        <v>5.55</v>
      </c>
      <c r="AN86" s="1502">
        <v>5.69</v>
      </c>
      <c r="AO86" s="1502">
        <v>6.53</v>
      </c>
      <c r="AP86" s="1502">
        <v>5.94</v>
      </c>
      <c r="AQ86" s="1502">
        <v>5.88</v>
      </c>
      <c r="AR86" s="1502">
        <v>5.67</v>
      </c>
      <c r="AS86" s="1502">
        <v>5.37</v>
      </c>
      <c r="AT86" s="1502">
        <v>4.84</v>
      </c>
      <c r="AU86" s="1502">
        <v>4.4800000000000004</v>
      </c>
      <c r="AV86" s="1502">
        <v>4.66</v>
      </c>
      <c r="AW86" s="1503">
        <v>4.32</v>
      </c>
      <c r="AY86" s="57"/>
      <c r="AZ86" s="68" t="s">
        <v>116</v>
      </c>
      <c r="BA86" s="501">
        <f t="shared" si="129"/>
        <v>0</v>
      </c>
      <c r="BB86" s="530">
        <f t="shared" si="131"/>
        <v>0</v>
      </c>
      <c r="BC86" s="524">
        <f t="shared" si="130"/>
        <v>0</v>
      </c>
      <c r="BD86" s="524">
        <f t="shared" si="130"/>
        <v>0</v>
      </c>
      <c r="BE86" s="524">
        <f t="shared" si="130"/>
        <v>0</v>
      </c>
      <c r="BF86" s="524">
        <f t="shared" si="130"/>
        <v>0</v>
      </c>
      <c r="BG86" s="524">
        <f t="shared" si="130"/>
        <v>0</v>
      </c>
      <c r="BH86" s="524">
        <f t="shared" si="130"/>
        <v>0</v>
      </c>
      <c r="BI86" s="524">
        <f t="shared" si="130"/>
        <v>0</v>
      </c>
      <c r="BJ86" s="524">
        <f t="shared" si="130"/>
        <v>0</v>
      </c>
      <c r="BK86" s="524">
        <f t="shared" si="130"/>
        <v>0</v>
      </c>
      <c r="BL86" s="524">
        <f t="shared" si="130"/>
        <v>0</v>
      </c>
      <c r="BM86" s="525">
        <f t="shared" si="130"/>
        <v>0</v>
      </c>
      <c r="CK86" s="57" t="s">
        <v>94</v>
      </c>
      <c r="CL86" s="510">
        <f t="shared" si="117"/>
        <v>0</v>
      </c>
      <c r="CM86" s="511">
        <f>CM17*'3 Saalis'!CK85</f>
        <v>0</v>
      </c>
      <c r="CN86" s="438">
        <f>CN17*'3 Saalis'!CL85</f>
        <v>0</v>
      </c>
      <c r="CO86" s="438">
        <f>CO17*'3 Saalis'!CM85</f>
        <v>0</v>
      </c>
      <c r="CP86" s="438">
        <f>CP17*'3 Saalis'!CN85</f>
        <v>0</v>
      </c>
      <c r="CQ86" s="438">
        <f>CQ17*'3 Saalis'!CO85</f>
        <v>0</v>
      </c>
      <c r="CR86" s="438">
        <f>CR17*'3 Saalis'!CP85</f>
        <v>0</v>
      </c>
      <c r="CS86" s="438">
        <f>CS17*'3 Saalis'!CQ85</f>
        <v>0</v>
      </c>
      <c r="CT86" s="438">
        <f>CT17*'3 Saalis'!CR85</f>
        <v>0</v>
      </c>
      <c r="CU86" s="438">
        <f>CU17*'3 Saalis'!CS85</f>
        <v>0</v>
      </c>
      <c r="CV86" s="438">
        <f>CV17*'3 Saalis'!CT85</f>
        <v>0</v>
      </c>
      <c r="CW86" s="438">
        <f>CW17*'3 Saalis'!CU85</f>
        <v>0</v>
      </c>
      <c r="CX86" s="439">
        <f>CX17*'3 Saalis'!CV85</f>
        <v>0</v>
      </c>
    </row>
    <row r="87" spans="2:102" ht="13.5" thickBot="1" x14ac:dyDescent="0.25">
      <c r="B87" s="57"/>
      <c r="C87" s="68" t="s">
        <v>117</v>
      </c>
      <c r="D87" s="450">
        <f t="shared" si="127"/>
        <v>0</v>
      </c>
      <c r="E87" s="1470"/>
      <c r="F87" s="1471"/>
      <c r="G87" s="1471"/>
      <c r="H87" s="1471"/>
      <c r="I87" s="1471"/>
      <c r="J87" s="1471"/>
      <c r="K87" s="1471"/>
      <c r="L87" s="1471"/>
      <c r="M87" s="1471"/>
      <c r="N87" s="1471"/>
      <c r="O87" s="1471"/>
      <c r="P87" s="1472"/>
      <c r="S87" s="255"/>
      <c r="T87" s="267" t="s">
        <v>117</v>
      </c>
      <c r="U87" s="450">
        <f>SUM(V87:AG87)</f>
        <v>0</v>
      </c>
      <c r="V87" s="533">
        <f>E87*'5 Kalan alkukäsittely satamassa'!$D$13</f>
        <v>0</v>
      </c>
      <c r="W87" s="516">
        <f>F87*'5 Kalan alkukäsittely satamassa'!$D$13</f>
        <v>0</v>
      </c>
      <c r="X87" s="516">
        <f>G87*'5 Kalan alkukäsittely satamassa'!$D$13</f>
        <v>0</v>
      </c>
      <c r="Y87" s="516">
        <f>H87*'5 Kalan alkukäsittely satamassa'!$D$13</f>
        <v>0</v>
      </c>
      <c r="Z87" s="516">
        <f>I87*'5 Kalan alkukäsittely satamassa'!$D$13</f>
        <v>0</v>
      </c>
      <c r="AA87" s="516">
        <f>J87*'5 Kalan alkukäsittely satamassa'!$D$13</f>
        <v>0</v>
      </c>
      <c r="AB87" s="516">
        <f>K87*'5 Kalan alkukäsittely satamassa'!$D$13</f>
        <v>0</v>
      </c>
      <c r="AC87" s="516">
        <f>L87*'5 Kalan alkukäsittely satamassa'!$D$13</f>
        <v>0</v>
      </c>
      <c r="AD87" s="516">
        <f>M87*'5 Kalan alkukäsittely satamassa'!$D$13</f>
        <v>0</v>
      </c>
      <c r="AE87" s="516">
        <f>N87*'5 Kalan alkukäsittely satamassa'!$D$13</f>
        <v>0</v>
      </c>
      <c r="AF87" s="516">
        <f>O87*'5 Kalan alkukäsittely satamassa'!$D$13</f>
        <v>0</v>
      </c>
      <c r="AG87" s="490">
        <f>P87*'5 Kalan alkukäsittely satamassa'!$D$13</f>
        <v>0</v>
      </c>
      <c r="AI87" s="57"/>
      <c r="AJ87" s="68" t="s">
        <v>117</v>
      </c>
      <c r="AK87" s="590">
        <f t="shared" si="132"/>
        <v>0</v>
      </c>
      <c r="AL87" s="1502">
        <v>4.7699999999999996</v>
      </c>
      <c r="AM87" s="1502">
        <v>4.9000000000000004</v>
      </c>
      <c r="AN87" s="1502">
        <v>4.95</v>
      </c>
      <c r="AO87" s="1502">
        <v>4.9400000000000004</v>
      </c>
      <c r="AP87" s="1502">
        <v>4.93</v>
      </c>
      <c r="AQ87" s="1502">
        <v>4.95</v>
      </c>
      <c r="AR87" s="1502">
        <v>4.8</v>
      </c>
      <c r="AS87" s="1502">
        <v>4.78</v>
      </c>
      <c r="AT87" s="1502">
        <v>4.22</v>
      </c>
      <c r="AU87" s="1502">
        <v>3.68</v>
      </c>
      <c r="AV87" s="1502">
        <v>3.99</v>
      </c>
      <c r="AW87" s="1503">
        <v>4.03</v>
      </c>
      <c r="AY87" s="57"/>
      <c r="AZ87" s="68" t="s">
        <v>117</v>
      </c>
      <c r="BA87" s="501">
        <f t="shared" si="129"/>
        <v>0</v>
      </c>
      <c r="BB87" s="530">
        <f t="shared" si="131"/>
        <v>0</v>
      </c>
      <c r="BC87" s="524">
        <f t="shared" si="130"/>
        <v>0</v>
      </c>
      <c r="BD87" s="524">
        <f t="shared" si="130"/>
        <v>0</v>
      </c>
      <c r="BE87" s="524">
        <f t="shared" si="130"/>
        <v>0</v>
      </c>
      <c r="BF87" s="524">
        <f t="shared" si="130"/>
        <v>0</v>
      </c>
      <c r="BG87" s="524">
        <f t="shared" si="130"/>
        <v>0</v>
      </c>
      <c r="BH87" s="524">
        <f t="shared" si="130"/>
        <v>0</v>
      </c>
      <c r="BI87" s="524">
        <f t="shared" si="130"/>
        <v>0</v>
      </c>
      <c r="BJ87" s="524">
        <f t="shared" si="130"/>
        <v>0</v>
      </c>
      <c r="BK87" s="524">
        <f t="shared" si="130"/>
        <v>0</v>
      </c>
      <c r="BL87" s="524">
        <f t="shared" si="130"/>
        <v>0</v>
      </c>
      <c r="BM87" s="525">
        <f t="shared" si="130"/>
        <v>0</v>
      </c>
      <c r="CK87" s="40" t="s">
        <v>93</v>
      </c>
      <c r="CL87" s="593">
        <f t="shared" si="117"/>
        <v>0</v>
      </c>
      <c r="CM87" s="513">
        <f>CM18*'3 Saalis'!CK86</f>
        <v>0</v>
      </c>
      <c r="CN87" s="485">
        <f>CN18*'3 Saalis'!CL86</f>
        <v>0</v>
      </c>
      <c r="CO87" s="485">
        <f>CO18*'3 Saalis'!CM86</f>
        <v>0</v>
      </c>
      <c r="CP87" s="485">
        <f>CP18*'3 Saalis'!CN86</f>
        <v>0</v>
      </c>
      <c r="CQ87" s="485">
        <f>CQ18*'3 Saalis'!CO86</f>
        <v>0</v>
      </c>
      <c r="CR87" s="485">
        <f>CR18*'3 Saalis'!CP86</f>
        <v>0</v>
      </c>
      <c r="CS87" s="485">
        <f>CS18*'3 Saalis'!CQ86</f>
        <v>0</v>
      </c>
      <c r="CT87" s="485">
        <f>CT18*'3 Saalis'!CR86</f>
        <v>0</v>
      </c>
      <c r="CU87" s="485">
        <f>CU18*'3 Saalis'!CS86</f>
        <v>0</v>
      </c>
      <c r="CV87" s="485">
        <f>CV18*'3 Saalis'!CT86</f>
        <v>0</v>
      </c>
      <c r="CW87" s="485">
        <f>CW18*'3 Saalis'!CU86</f>
        <v>0</v>
      </c>
      <c r="CX87" s="486">
        <f>CX18*'3 Saalis'!CV86</f>
        <v>0</v>
      </c>
    </row>
    <row r="88" spans="2:102" ht="13.5" thickBot="1" x14ac:dyDescent="0.25">
      <c r="B88" s="57"/>
      <c r="C88" s="68" t="s">
        <v>118</v>
      </c>
      <c r="D88" s="450">
        <f t="shared" si="127"/>
        <v>0</v>
      </c>
      <c r="E88" s="1470"/>
      <c r="F88" s="1471"/>
      <c r="G88" s="1471"/>
      <c r="H88" s="1471"/>
      <c r="I88" s="1471"/>
      <c r="J88" s="1471"/>
      <c r="K88" s="1471"/>
      <c r="L88" s="1471"/>
      <c r="M88" s="1471"/>
      <c r="N88" s="1471"/>
      <c r="O88" s="1471"/>
      <c r="P88" s="1472"/>
      <c r="S88" s="255"/>
      <c r="T88" s="267" t="s">
        <v>118</v>
      </c>
      <c r="U88" s="450">
        <f t="shared" ref="U88:U102" si="133">SUM(V88:AG88)</f>
        <v>0</v>
      </c>
      <c r="V88" s="533">
        <f>E88*'5 Kalan alkukäsittely satamassa'!$D$14</f>
        <v>0</v>
      </c>
      <c r="W88" s="516">
        <f>F88*'5 Kalan alkukäsittely satamassa'!$D$14</f>
        <v>0</v>
      </c>
      <c r="X88" s="516">
        <f>G88*'5 Kalan alkukäsittely satamassa'!$D$14</f>
        <v>0</v>
      </c>
      <c r="Y88" s="516">
        <f>H88*'5 Kalan alkukäsittely satamassa'!$D$14</f>
        <v>0</v>
      </c>
      <c r="Z88" s="516">
        <f>I88*'5 Kalan alkukäsittely satamassa'!$D$14</f>
        <v>0</v>
      </c>
      <c r="AA88" s="516">
        <f>J88*'5 Kalan alkukäsittely satamassa'!$D$14</f>
        <v>0</v>
      </c>
      <c r="AB88" s="516">
        <f>K88*'5 Kalan alkukäsittely satamassa'!$D$14</f>
        <v>0</v>
      </c>
      <c r="AC88" s="516">
        <f>L88*'5 Kalan alkukäsittely satamassa'!$D$14</f>
        <v>0</v>
      </c>
      <c r="AD88" s="516">
        <f>M88*'5 Kalan alkukäsittely satamassa'!$D$14</f>
        <v>0</v>
      </c>
      <c r="AE88" s="516">
        <f>N88*'5 Kalan alkukäsittely satamassa'!$D$14</f>
        <v>0</v>
      </c>
      <c r="AF88" s="516">
        <f>O88*'5 Kalan alkukäsittely satamassa'!$D$14</f>
        <v>0</v>
      </c>
      <c r="AG88" s="490">
        <f>P88*'5 Kalan alkukäsittely satamassa'!$D$14</f>
        <v>0</v>
      </c>
      <c r="AI88" s="57"/>
      <c r="AJ88" s="68" t="s">
        <v>118</v>
      </c>
      <c r="AK88" s="590">
        <f t="shared" si="132"/>
        <v>0</v>
      </c>
      <c r="AL88" s="1502">
        <v>3.66</v>
      </c>
      <c r="AM88" s="1502">
        <v>3.89</v>
      </c>
      <c r="AN88" s="1502">
        <v>3.61</v>
      </c>
      <c r="AO88" s="1502">
        <v>3.6</v>
      </c>
      <c r="AP88" s="1502">
        <v>3.61</v>
      </c>
      <c r="AQ88" s="1502">
        <v>3.5</v>
      </c>
      <c r="AR88" s="1502">
        <v>3.35</v>
      </c>
      <c r="AS88" s="1502">
        <v>3.45</v>
      </c>
      <c r="AT88" s="1502">
        <v>3.2</v>
      </c>
      <c r="AU88" s="1502">
        <v>2.5499999999999998</v>
      </c>
      <c r="AV88" s="1502">
        <v>2.4</v>
      </c>
      <c r="AW88" s="1503">
        <v>3.01</v>
      </c>
      <c r="AY88" s="57"/>
      <c r="AZ88" s="68" t="s">
        <v>118</v>
      </c>
      <c r="BA88" s="501">
        <f t="shared" si="129"/>
        <v>0</v>
      </c>
      <c r="BB88" s="530">
        <f t="shared" si="131"/>
        <v>0</v>
      </c>
      <c r="BC88" s="524">
        <f t="shared" si="130"/>
        <v>0</v>
      </c>
      <c r="BD88" s="524">
        <f t="shared" si="130"/>
        <v>0</v>
      </c>
      <c r="BE88" s="524">
        <f t="shared" si="130"/>
        <v>0</v>
      </c>
      <c r="BF88" s="524">
        <f t="shared" si="130"/>
        <v>0</v>
      </c>
      <c r="BG88" s="524">
        <f t="shared" si="130"/>
        <v>0</v>
      </c>
      <c r="BH88" s="524">
        <f t="shared" si="130"/>
        <v>0</v>
      </c>
      <c r="BI88" s="524">
        <f t="shared" si="130"/>
        <v>0</v>
      </c>
      <c r="BJ88" s="524">
        <f t="shared" si="130"/>
        <v>0</v>
      </c>
      <c r="BK88" s="524">
        <f t="shared" si="130"/>
        <v>0</v>
      </c>
      <c r="BL88" s="524">
        <f t="shared" si="130"/>
        <v>0</v>
      </c>
      <c r="BM88" s="525">
        <f t="shared" si="130"/>
        <v>0</v>
      </c>
      <c r="CK88" s="40" t="s">
        <v>107</v>
      </c>
      <c r="CL88" s="423">
        <f>SUM(CL76:CL87)</f>
        <v>0</v>
      </c>
      <c r="CM88" s="503">
        <f t="shared" ref="CM88:CX88" si="134">SUM(CM76:CM87)</f>
        <v>0</v>
      </c>
      <c r="CN88" s="453">
        <f t="shared" si="134"/>
        <v>0</v>
      </c>
      <c r="CO88" s="453">
        <f t="shared" si="134"/>
        <v>0</v>
      </c>
      <c r="CP88" s="453">
        <f t="shared" si="134"/>
        <v>0</v>
      </c>
      <c r="CQ88" s="453">
        <f>SUM(CQ76:CQ87)</f>
        <v>0</v>
      </c>
      <c r="CR88" s="453">
        <f t="shared" si="134"/>
        <v>0</v>
      </c>
      <c r="CS88" s="453">
        <f t="shared" si="134"/>
        <v>0</v>
      </c>
      <c r="CT88" s="453">
        <f t="shared" si="134"/>
        <v>0</v>
      </c>
      <c r="CU88" s="453">
        <f t="shared" si="134"/>
        <v>0</v>
      </c>
      <c r="CV88" s="453">
        <f t="shared" si="134"/>
        <v>0</v>
      </c>
      <c r="CW88" s="453">
        <f t="shared" si="134"/>
        <v>0</v>
      </c>
      <c r="CX88" s="454">
        <f t="shared" si="134"/>
        <v>0</v>
      </c>
    </row>
    <row r="89" spans="2:102" x14ac:dyDescent="0.2">
      <c r="B89" s="57"/>
      <c r="C89" s="68" t="s">
        <v>86</v>
      </c>
      <c r="D89" s="450">
        <f t="shared" si="127"/>
        <v>0</v>
      </c>
      <c r="E89" s="1470"/>
      <c r="F89" s="1471"/>
      <c r="G89" s="1471"/>
      <c r="H89" s="1471"/>
      <c r="I89" s="1471"/>
      <c r="J89" s="1471"/>
      <c r="K89" s="1471"/>
      <c r="L89" s="1471"/>
      <c r="M89" s="1471"/>
      <c r="N89" s="1471"/>
      <c r="O89" s="1471"/>
      <c r="P89" s="1472"/>
      <c r="S89" s="255"/>
      <c r="T89" s="267" t="s">
        <v>86</v>
      </c>
      <c r="U89" s="450">
        <f t="shared" si="133"/>
        <v>0</v>
      </c>
      <c r="V89" s="533">
        <f>E89*'5 Kalan alkukäsittely satamassa'!$F$11</f>
        <v>0</v>
      </c>
      <c r="W89" s="516">
        <f>F89*'5 Kalan alkukäsittely satamassa'!$F$11</f>
        <v>0</v>
      </c>
      <c r="X89" s="516">
        <f>G89*'5 Kalan alkukäsittely satamassa'!$F$11</f>
        <v>0</v>
      </c>
      <c r="Y89" s="516">
        <f>H89*'5 Kalan alkukäsittely satamassa'!$F$11</f>
        <v>0</v>
      </c>
      <c r="Z89" s="516">
        <f>I89*'5 Kalan alkukäsittely satamassa'!$F$11</f>
        <v>0</v>
      </c>
      <c r="AA89" s="516">
        <f>J89*'5 Kalan alkukäsittely satamassa'!$F$11</f>
        <v>0</v>
      </c>
      <c r="AB89" s="516">
        <f>K89*'5 Kalan alkukäsittely satamassa'!$F$11</f>
        <v>0</v>
      </c>
      <c r="AC89" s="516">
        <f>L89*'5 Kalan alkukäsittely satamassa'!$F$11</f>
        <v>0</v>
      </c>
      <c r="AD89" s="516">
        <f>M89*'5 Kalan alkukäsittely satamassa'!$F$11</f>
        <v>0</v>
      </c>
      <c r="AE89" s="516">
        <f>N89*'5 Kalan alkukäsittely satamassa'!$F$11</f>
        <v>0</v>
      </c>
      <c r="AF89" s="516">
        <f>O89*'5 Kalan alkukäsittely satamassa'!$F$11</f>
        <v>0</v>
      </c>
      <c r="AG89" s="490">
        <f>P89*'5 Kalan alkukäsittely satamassa'!$F$11</f>
        <v>0</v>
      </c>
      <c r="AI89" s="57"/>
      <c r="AJ89" s="68" t="s">
        <v>86</v>
      </c>
      <c r="AK89" s="590">
        <f t="shared" si="132"/>
        <v>0</v>
      </c>
      <c r="AL89" s="1502">
        <v>12</v>
      </c>
      <c r="AM89" s="1502">
        <v>12</v>
      </c>
      <c r="AN89" s="1502">
        <v>12</v>
      </c>
      <c r="AO89" s="1502">
        <v>12</v>
      </c>
      <c r="AP89" s="1502">
        <v>12</v>
      </c>
      <c r="AQ89" s="1502">
        <v>12</v>
      </c>
      <c r="AR89" s="1502">
        <v>12</v>
      </c>
      <c r="AS89" s="1502">
        <v>12</v>
      </c>
      <c r="AT89" s="1502">
        <v>12</v>
      </c>
      <c r="AU89" s="1502">
        <v>12</v>
      </c>
      <c r="AV89" s="1502">
        <v>12</v>
      </c>
      <c r="AW89" s="1503">
        <v>12</v>
      </c>
      <c r="AY89" s="57"/>
      <c r="AZ89" s="59" t="s">
        <v>86</v>
      </c>
      <c r="BA89" s="501">
        <f t="shared" si="129"/>
        <v>0</v>
      </c>
      <c r="BB89" s="530">
        <f t="shared" si="131"/>
        <v>0</v>
      </c>
      <c r="BC89" s="524">
        <f t="shared" si="130"/>
        <v>0</v>
      </c>
      <c r="BD89" s="524">
        <f t="shared" si="130"/>
        <v>0</v>
      </c>
      <c r="BE89" s="524">
        <f t="shared" si="130"/>
        <v>0</v>
      </c>
      <c r="BF89" s="524">
        <f t="shared" si="130"/>
        <v>0</v>
      </c>
      <c r="BG89" s="524">
        <f t="shared" si="130"/>
        <v>0</v>
      </c>
      <c r="BH89" s="524">
        <f t="shared" si="130"/>
        <v>0</v>
      </c>
      <c r="BI89" s="524">
        <f t="shared" si="130"/>
        <v>0</v>
      </c>
      <c r="BJ89" s="524">
        <f t="shared" si="130"/>
        <v>0</v>
      </c>
      <c r="BK89" s="524">
        <f t="shared" si="130"/>
        <v>0</v>
      </c>
      <c r="BL89" s="524">
        <f t="shared" si="130"/>
        <v>0</v>
      </c>
      <c r="BM89" s="525">
        <f t="shared" si="130"/>
        <v>0</v>
      </c>
    </row>
    <row r="90" spans="2:102" ht="13.5" thickBot="1" x14ac:dyDescent="0.25">
      <c r="B90" s="57"/>
      <c r="C90" s="68" t="s">
        <v>87</v>
      </c>
      <c r="D90" s="450">
        <f t="shared" si="127"/>
        <v>0</v>
      </c>
      <c r="E90" s="1470"/>
      <c r="F90" s="1471"/>
      <c r="G90" s="1471"/>
      <c r="H90" s="1471"/>
      <c r="I90" s="1471"/>
      <c r="J90" s="1471"/>
      <c r="K90" s="1471"/>
      <c r="L90" s="1471"/>
      <c r="M90" s="1471"/>
      <c r="N90" s="1471"/>
      <c r="O90" s="1471"/>
      <c r="P90" s="1472"/>
      <c r="S90" s="255"/>
      <c r="T90" s="267" t="s">
        <v>87</v>
      </c>
      <c r="U90" s="450">
        <f t="shared" si="133"/>
        <v>0</v>
      </c>
      <c r="V90" s="533">
        <f>E90*'5 Kalan alkukäsittely satamassa'!$F$12</f>
        <v>0</v>
      </c>
      <c r="W90" s="516">
        <f>F90*'5 Kalan alkukäsittely satamassa'!$F$12</f>
        <v>0</v>
      </c>
      <c r="X90" s="516">
        <f>G90*'5 Kalan alkukäsittely satamassa'!$F$12</f>
        <v>0</v>
      </c>
      <c r="Y90" s="516">
        <f>H90*'5 Kalan alkukäsittely satamassa'!$F$12</f>
        <v>0</v>
      </c>
      <c r="Z90" s="516">
        <f>I90*'5 Kalan alkukäsittely satamassa'!$F$12</f>
        <v>0</v>
      </c>
      <c r="AA90" s="516">
        <f>J90*'5 Kalan alkukäsittely satamassa'!$F$12</f>
        <v>0</v>
      </c>
      <c r="AB90" s="516">
        <f>K90*'5 Kalan alkukäsittely satamassa'!$F$12</f>
        <v>0</v>
      </c>
      <c r="AC90" s="516">
        <f>L90*'5 Kalan alkukäsittely satamassa'!$F$12</f>
        <v>0</v>
      </c>
      <c r="AD90" s="516">
        <f>M90*'5 Kalan alkukäsittely satamassa'!$F$12</f>
        <v>0</v>
      </c>
      <c r="AE90" s="516">
        <f>N90*'5 Kalan alkukäsittely satamassa'!$F$12</f>
        <v>0</v>
      </c>
      <c r="AF90" s="516">
        <f>O90*'5 Kalan alkukäsittely satamassa'!$F$12</f>
        <v>0</v>
      </c>
      <c r="AG90" s="490">
        <f>P90*'5 Kalan alkukäsittely satamassa'!$F$12</f>
        <v>0</v>
      </c>
      <c r="AI90" s="57"/>
      <c r="AJ90" s="68" t="s">
        <v>87</v>
      </c>
      <c r="AK90" s="590">
        <f t="shared" si="132"/>
        <v>0</v>
      </c>
      <c r="AL90" s="1502">
        <v>11</v>
      </c>
      <c r="AM90" s="1502">
        <v>11</v>
      </c>
      <c r="AN90" s="1502">
        <v>11</v>
      </c>
      <c r="AO90" s="1502">
        <v>11</v>
      </c>
      <c r="AP90" s="1502">
        <v>11</v>
      </c>
      <c r="AQ90" s="1502">
        <v>11</v>
      </c>
      <c r="AR90" s="1502">
        <v>11</v>
      </c>
      <c r="AS90" s="1502">
        <v>11</v>
      </c>
      <c r="AT90" s="1502">
        <v>11</v>
      </c>
      <c r="AU90" s="1502">
        <v>11</v>
      </c>
      <c r="AV90" s="1502">
        <v>11</v>
      </c>
      <c r="AW90" s="1503">
        <v>11</v>
      </c>
      <c r="AY90" s="57"/>
      <c r="AZ90" s="59" t="s">
        <v>87</v>
      </c>
      <c r="BA90" s="501">
        <f t="shared" si="129"/>
        <v>0</v>
      </c>
      <c r="BB90" s="530">
        <f t="shared" si="131"/>
        <v>0</v>
      </c>
      <c r="BC90" s="524">
        <f t="shared" si="130"/>
        <v>0</v>
      </c>
      <c r="BD90" s="524">
        <f t="shared" si="130"/>
        <v>0</v>
      </c>
      <c r="BE90" s="524">
        <f t="shared" si="130"/>
        <v>0</v>
      </c>
      <c r="BF90" s="524">
        <f t="shared" si="130"/>
        <v>0</v>
      </c>
      <c r="BG90" s="524">
        <f t="shared" si="130"/>
        <v>0</v>
      </c>
      <c r="BH90" s="524">
        <f t="shared" si="130"/>
        <v>0</v>
      </c>
      <c r="BI90" s="524">
        <f t="shared" si="130"/>
        <v>0</v>
      </c>
      <c r="BJ90" s="524">
        <f t="shared" si="130"/>
        <v>0</v>
      </c>
      <c r="BK90" s="524">
        <f t="shared" si="130"/>
        <v>0</v>
      </c>
      <c r="BL90" s="524">
        <f t="shared" si="130"/>
        <v>0</v>
      </c>
      <c r="BM90" s="525">
        <f t="shared" si="130"/>
        <v>0</v>
      </c>
    </row>
    <row r="91" spans="2:102" ht="18.75" customHeight="1" thickBot="1" x14ac:dyDescent="0.4">
      <c r="B91" s="57"/>
      <c r="C91" s="68" t="s">
        <v>88</v>
      </c>
      <c r="D91" s="450">
        <f t="shared" si="127"/>
        <v>0</v>
      </c>
      <c r="E91" s="1470"/>
      <c r="F91" s="1471"/>
      <c r="G91" s="1471"/>
      <c r="H91" s="1471"/>
      <c r="I91" s="1471"/>
      <c r="J91" s="1471"/>
      <c r="K91" s="1471"/>
      <c r="L91" s="1471"/>
      <c r="M91" s="1471"/>
      <c r="N91" s="1471"/>
      <c r="O91" s="1471"/>
      <c r="P91" s="1472"/>
      <c r="S91" s="255"/>
      <c r="T91" s="267" t="s">
        <v>88</v>
      </c>
      <c r="U91" s="450">
        <f t="shared" si="133"/>
        <v>0</v>
      </c>
      <c r="V91" s="533">
        <f>E91*'5 Kalan alkukäsittely satamassa'!$F$13</f>
        <v>0</v>
      </c>
      <c r="W91" s="516">
        <f>F91*'5 Kalan alkukäsittely satamassa'!$F$13</f>
        <v>0</v>
      </c>
      <c r="X91" s="516">
        <f>G91*'5 Kalan alkukäsittely satamassa'!$F$13</f>
        <v>0</v>
      </c>
      <c r="Y91" s="516">
        <f>H91*'5 Kalan alkukäsittely satamassa'!$F$13</f>
        <v>0</v>
      </c>
      <c r="Z91" s="516">
        <f>I91*'5 Kalan alkukäsittely satamassa'!$F$13</f>
        <v>0</v>
      </c>
      <c r="AA91" s="516">
        <f>J91*'5 Kalan alkukäsittely satamassa'!$F$13</f>
        <v>0</v>
      </c>
      <c r="AB91" s="516">
        <f>K91*'5 Kalan alkukäsittely satamassa'!$F$13</f>
        <v>0</v>
      </c>
      <c r="AC91" s="516">
        <f>L91*'5 Kalan alkukäsittely satamassa'!$F$13</f>
        <v>0</v>
      </c>
      <c r="AD91" s="516">
        <f>M91*'5 Kalan alkukäsittely satamassa'!$F$13</f>
        <v>0</v>
      </c>
      <c r="AE91" s="516">
        <f>N91*'5 Kalan alkukäsittely satamassa'!$F$13</f>
        <v>0</v>
      </c>
      <c r="AF91" s="516">
        <f>O91*'5 Kalan alkukäsittely satamassa'!$F$13</f>
        <v>0</v>
      </c>
      <c r="AG91" s="490">
        <f>P91*'5 Kalan alkukäsittely satamassa'!$F$13</f>
        <v>0</v>
      </c>
      <c r="AI91" s="57"/>
      <c r="AJ91" s="68" t="s">
        <v>88</v>
      </c>
      <c r="AK91" s="590">
        <f t="shared" si="132"/>
        <v>0</v>
      </c>
      <c r="AL91" s="1502">
        <v>10</v>
      </c>
      <c r="AM91" s="1502">
        <v>10</v>
      </c>
      <c r="AN91" s="1502">
        <v>10</v>
      </c>
      <c r="AO91" s="1502">
        <v>10</v>
      </c>
      <c r="AP91" s="1502">
        <v>10</v>
      </c>
      <c r="AQ91" s="1502">
        <v>10</v>
      </c>
      <c r="AR91" s="1502">
        <v>10</v>
      </c>
      <c r="AS91" s="1502">
        <v>10</v>
      </c>
      <c r="AT91" s="1502">
        <v>10</v>
      </c>
      <c r="AU91" s="1502">
        <v>10</v>
      </c>
      <c r="AV91" s="1502">
        <v>10</v>
      </c>
      <c r="AW91" s="1503">
        <v>10</v>
      </c>
      <c r="AY91" s="57"/>
      <c r="AZ91" s="59" t="s">
        <v>88</v>
      </c>
      <c r="BA91" s="501">
        <f t="shared" si="129"/>
        <v>0</v>
      </c>
      <c r="BB91" s="530">
        <f t="shared" si="131"/>
        <v>0</v>
      </c>
      <c r="BC91" s="524">
        <f t="shared" si="130"/>
        <v>0</v>
      </c>
      <c r="BD91" s="524">
        <f t="shared" si="130"/>
        <v>0</v>
      </c>
      <c r="BE91" s="524">
        <f t="shared" si="130"/>
        <v>0</v>
      </c>
      <c r="BF91" s="524">
        <f t="shared" si="130"/>
        <v>0</v>
      </c>
      <c r="BG91" s="524">
        <f t="shared" si="130"/>
        <v>0</v>
      </c>
      <c r="BH91" s="524">
        <f t="shared" si="130"/>
        <v>0</v>
      </c>
      <c r="BI91" s="524">
        <f t="shared" si="130"/>
        <v>0</v>
      </c>
      <c r="BJ91" s="524">
        <f t="shared" si="130"/>
        <v>0</v>
      </c>
      <c r="BK91" s="524">
        <f t="shared" si="130"/>
        <v>0</v>
      </c>
      <c r="BL91" s="524">
        <f t="shared" si="130"/>
        <v>0</v>
      </c>
      <c r="BM91" s="525">
        <f t="shared" si="130"/>
        <v>0</v>
      </c>
      <c r="CK91" s="792" t="str">
        <f>'3 Saalis'!T133</f>
        <v>Isorysä2</v>
      </c>
      <c r="CL91" s="736"/>
      <c r="CM91" s="377"/>
      <c r="CN91" s="736"/>
      <c r="CO91" s="377"/>
      <c r="CP91" s="377"/>
      <c r="CQ91" s="377"/>
      <c r="CR91" s="734"/>
    </row>
    <row r="92" spans="2:102" ht="15.75" customHeight="1" thickBot="1" x14ac:dyDescent="0.25">
      <c r="B92" s="57"/>
      <c r="C92" s="68" t="s">
        <v>89</v>
      </c>
      <c r="D92" s="450">
        <f t="shared" si="127"/>
        <v>0</v>
      </c>
      <c r="E92" s="1473"/>
      <c r="F92" s="1474"/>
      <c r="G92" s="1474"/>
      <c r="H92" s="1474"/>
      <c r="I92" s="1474"/>
      <c r="J92" s="1474"/>
      <c r="K92" s="1474"/>
      <c r="L92" s="1474"/>
      <c r="M92" s="1474"/>
      <c r="N92" s="1474"/>
      <c r="O92" s="1474"/>
      <c r="P92" s="1475"/>
      <c r="S92" s="255"/>
      <c r="T92" s="267" t="s">
        <v>89</v>
      </c>
      <c r="U92" s="450">
        <f t="shared" si="133"/>
        <v>0</v>
      </c>
      <c r="V92" s="533">
        <f>E92*'5 Kalan alkukäsittely satamassa'!$F$14</f>
        <v>0</v>
      </c>
      <c r="W92" s="516">
        <f>F92*'5 Kalan alkukäsittely satamassa'!$F$14</f>
        <v>0</v>
      </c>
      <c r="X92" s="516">
        <f>G92*'5 Kalan alkukäsittely satamassa'!$F$14</f>
        <v>0</v>
      </c>
      <c r="Y92" s="516">
        <f>H92*'5 Kalan alkukäsittely satamassa'!$F$14</f>
        <v>0</v>
      </c>
      <c r="Z92" s="516">
        <f>I92*'5 Kalan alkukäsittely satamassa'!$F$14</f>
        <v>0</v>
      </c>
      <c r="AA92" s="516">
        <f>J92*'5 Kalan alkukäsittely satamassa'!$F$14</f>
        <v>0</v>
      </c>
      <c r="AB92" s="516">
        <f>K92*'5 Kalan alkukäsittely satamassa'!$F$14</f>
        <v>0</v>
      </c>
      <c r="AC92" s="516">
        <f>L92*'5 Kalan alkukäsittely satamassa'!$F$14</f>
        <v>0</v>
      </c>
      <c r="AD92" s="516">
        <f>M92*'5 Kalan alkukäsittely satamassa'!$F$14</f>
        <v>0</v>
      </c>
      <c r="AE92" s="516">
        <f>N92*'5 Kalan alkukäsittely satamassa'!$F$14</f>
        <v>0</v>
      </c>
      <c r="AF92" s="516">
        <f>O92*'5 Kalan alkukäsittely satamassa'!$F$14</f>
        <v>0</v>
      </c>
      <c r="AG92" s="490">
        <f>P92*'5 Kalan alkukäsittely satamassa'!$F$14</f>
        <v>0</v>
      </c>
      <c r="AI92" s="57"/>
      <c r="AJ92" s="68" t="s">
        <v>89</v>
      </c>
      <c r="AK92" s="590">
        <f t="shared" si="132"/>
        <v>0</v>
      </c>
      <c r="AL92" s="1502">
        <v>9</v>
      </c>
      <c r="AM92" s="1502">
        <v>9</v>
      </c>
      <c r="AN92" s="1502">
        <v>9</v>
      </c>
      <c r="AO92" s="1502">
        <v>9</v>
      </c>
      <c r="AP92" s="1502">
        <v>9</v>
      </c>
      <c r="AQ92" s="1502">
        <v>9</v>
      </c>
      <c r="AR92" s="1502">
        <v>9</v>
      </c>
      <c r="AS92" s="1502">
        <v>9</v>
      </c>
      <c r="AT92" s="1502">
        <v>9</v>
      </c>
      <c r="AU92" s="1502">
        <v>9</v>
      </c>
      <c r="AV92" s="1502">
        <v>9</v>
      </c>
      <c r="AW92" s="1503">
        <v>9</v>
      </c>
      <c r="AY92" s="57"/>
      <c r="AZ92" s="59" t="s">
        <v>89</v>
      </c>
      <c r="BA92" s="501">
        <f t="shared" si="129"/>
        <v>0</v>
      </c>
      <c r="BB92" s="530">
        <f t="shared" si="131"/>
        <v>0</v>
      </c>
      <c r="BC92" s="524">
        <f t="shared" si="130"/>
        <v>0</v>
      </c>
      <c r="BD92" s="524">
        <f t="shared" si="130"/>
        <v>0</v>
      </c>
      <c r="BE92" s="524">
        <f t="shared" si="130"/>
        <v>0</v>
      </c>
      <c r="BF92" s="524">
        <f t="shared" si="130"/>
        <v>0</v>
      </c>
      <c r="BG92" s="524">
        <f t="shared" si="130"/>
        <v>0</v>
      </c>
      <c r="BH92" s="524">
        <f t="shared" si="130"/>
        <v>0</v>
      </c>
      <c r="BI92" s="524">
        <f t="shared" si="130"/>
        <v>0</v>
      </c>
      <c r="BJ92" s="524">
        <f t="shared" si="130"/>
        <v>0</v>
      </c>
      <c r="BK92" s="524">
        <f t="shared" si="130"/>
        <v>0</v>
      </c>
      <c r="BL92" s="524">
        <f t="shared" si="130"/>
        <v>0</v>
      </c>
      <c r="BM92" s="525">
        <f t="shared" si="130"/>
        <v>0</v>
      </c>
    </row>
    <row r="93" spans="2:102" ht="16.5" customHeight="1" thickBot="1" x14ac:dyDescent="0.4">
      <c r="B93" s="40"/>
      <c r="C93" s="56" t="s">
        <v>91</v>
      </c>
      <c r="D93" s="451">
        <f t="shared" si="127"/>
        <v>0</v>
      </c>
      <c r="E93" s="1476"/>
      <c r="F93" s="1477"/>
      <c r="G93" s="1477"/>
      <c r="H93" s="1477"/>
      <c r="I93" s="1477"/>
      <c r="J93" s="1477"/>
      <c r="K93" s="1477"/>
      <c r="L93" s="1477"/>
      <c r="M93" s="1477"/>
      <c r="N93" s="1477"/>
      <c r="O93" s="1477"/>
      <c r="P93" s="1478"/>
      <c r="S93" s="258"/>
      <c r="T93" s="263" t="s">
        <v>91</v>
      </c>
      <c r="U93" s="451">
        <f t="shared" si="133"/>
        <v>0</v>
      </c>
      <c r="V93" s="548">
        <f t="shared" ref="V93:AG93" si="135">E93</f>
        <v>0</v>
      </c>
      <c r="W93" s="549">
        <f t="shared" si="135"/>
        <v>0</v>
      </c>
      <c r="X93" s="549">
        <f t="shared" si="135"/>
        <v>0</v>
      </c>
      <c r="Y93" s="549">
        <f t="shared" si="135"/>
        <v>0</v>
      </c>
      <c r="Z93" s="549">
        <f t="shared" si="135"/>
        <v>0</v>
      </c>
      <c r="AA93" s="549">
        <f t="shared" si="135"/>
        <v>0</v>
      </c>
      <c r="AB93" s="549">
        <f t="shared" si="135"/>
        <v>0</v>
      </c>
      <c r="AC93" s="549">
        <f t="shared" si="135"/>
        <v>0</v>
      </c>
      <c r="AD93" s="549">
        <f t="shared" si="135"/>
        <v>0</v>
      </c>
      <c r="AE93" s="549">
        <f t="shared" si="135"/>
        <v>0</v>
      </c>
      <c r="AF93" s="549">
        <f t="shared" si="135"/>
        <v>0</v>
      </c>
      <c r="AG93" s="493">
        <f t="shared" si="135"/>
        <v>0</v>
      </c>
      <c r="AI93" s="57"/>
      <c r="AJ93" s="68" t="s">
        <v>91</v>
      </c>
      <c r="AK93" s="585">
        <f t="shared" si="132"/>
        <v>0</v>
      </c>
      <c r="AL93" s="1509">
        <v>28.9</v>
      </c>
      <c r="AM93" s="1509">
        <v>28.9</v>
      </c>
      <c r="AN93" s="1509">
        <v>28.9</v>
      </c>
      <c r="AO93" s="1509">
        <v>28.9</v>
      </c>
      <c r="AP93" s="1509">
        <v>28.9</v>
      </c>
      <c r="AQ93" s="1509">
        <v>28.9</v>
      </c>
      <c r="AR93" s="1509">
        <v>28.9</v>
      </c>
      <c r="AS93" s="1509">
        <v>28.9</v>
      </c>
      <c r="AT93" s="1509">
        <v>28.9</v>
      </c>
      <c r="AU93" s="1509">
        <v>28.9</v>
      </c>
      <c r="AV93" s="1509">
        <v>28.9</v>
      </c>
      <c r="AW93" s="1506">
        <v>28.9</v>
      </c>
      <c r="AY93" s="40"/>
      <c r="AZ93" s="56" t="s">
        <v>91</v>
      </c>
      <c r="BA93" s="498">
        <f>SUM(BB93:BM93)</f>
        <v>0</v>
      </c>
      <c r="BB93" s="541">
        <f t="shared" si="131"/>
        <v>0</v>
      </c>
      <c r="BC93" s="542">
        <f t="shared" si="130"/>
        <v>0</v>
      </c>
      <c r="BD93" s="542">
        <f t="shared" si="130"/>
        <v>0</v>
      </c>
      <c r="BE93" s="542">
        <f t="shared" si="130"/>
        <v>0</v>
      </c>
      <c r="BF93" s="542">
        <f t="shared" si="130"/>
        <v>0</v>
      </c>
      <c r="BG93" s="542">
        <f t="shared" si="130"/>
        <v>0</v>
      </c>
      <c r="BH93" s="542">
        <f t="shared" si="130"/>
        <v>0</v>
      </c>
      <c r="BI93" s="542">
        <f t="shared" si="130"/>
        <v>0</v>
      </c>
      <c r="BJ93" s="542">
        <f t="shared" si="130"/>
        <v>0</v>
      </c>
      <c r="BK93" s="542">
        <f t="shared" si="130"/>
        <v>0</v>
      </c>
      <c r="BL93" s="542">
        <f t="shared" si="130"/>
        <v>0</v>
      </c>
      <c r="BM93" s="543">
        <f t="shared" si="130"/>
        <v>0</v>
      </c>
      <c r="CK93" s="30" t="s">
        <v>39</v>
      </c>
      <c r="CL93" s="455">
        <f>'3 Saalis'!CJ91</f>
        <v>0</v>
      </c>
      <c r="CM93" s="8" t="s">
        <v>15</v>
      </c>
      <c r="CN93" s="41"/>
      <c r="CO93" s="42"/>
      <c r="CP93" s="8" t="s">
        <v>5</v>
      </c>
      <c r="CQ93" s="38"/>
      <c r="CR93" s="18"/>
      <c r="CS93" s="18"/>
      <c r="CT93" s="18"/>
      <c r="CU93" s="10"/>
      <c r="CW93" s="34"/>
    </row>
    <row r="94" spans="2:102" ht="13.5" thickBot="1" x14ac:dyDescent="0.25">
      <c r="B94" s="57" t="s">
        <v>79</v>
      </c>
      <c r="C94" s="13" t="s">
        <v>76</v>
      </c>
      <c r="D94" s="505">
        <f t="shared" si="127"/>
        <v>0</v>
      </c>
      <c r="E94" s="1493"/>
      <c r="F94" s="1488"/>
      <c r="G94" s="1488"/>
      <c r="H94" s="1488"/>
      <c r="I94" s="1488"/>
      <c r="J94" s="1488"/>
      <c r="K94" s="1488"/>
      <c r="L94" s="1488"/>
      <c r="M94" s="1488"/>
      <c r="N94" s="1488"/>
      <c r="O94" s="1488"/>
      <c r="P94" s="1489"/>
      <c r="S94" s="255" t="s">
        <v>79</v>
      </c>
      <c r="T94" s="267" t="s">
        <v>76</v>
      </c>
      <c r="U94" s="505">
        <f t="shared" si="133"/>
        <v>0</v>
      </c>
      <c r="V94" s="519">
        <f t="shared" ref="V94:AG94" si="136">E94</f>
        <v>0</v>
      </c>
      <c r="W94" s="499">
        <f t="shared" si="136"/>
        <v>0</v>
      </c>
      <c r="X94" s="499">
        <f t="shared" si="136"/>
        <v>0</v>
      </c>
      <c r="Y94" s="499">
        <f t="shared" si="136"/>
        <v>0</v>
      </c>
      <c r="Z94" s="499">
        <f t="shared" si="136"/>
        <v>0</v>
      </c>
      <c r="AA94" s="499">
        <f t="shared" si="136"/>
        <v>0</v>
      </c>
      <c r="AB94" s="499">
        <f t="shared" si="136"/>
        <v>0</v>
      </c>
      <c r="AC94" s="499">
        <f t="shared" si="136"/>
        <v>0</v>
      </c>
      <c r="AD94" s="499">
        <f t="shared" si="136"/>
        <v>0</v>
      </c>
      <c r="AE94" s="499">
        <f t="shared" si="136"/>
        <v>0</v>
      </c>
      <c r="AF94" s="499">
        <f t="shared" si="136"/>
        <v>0</v>
      </c>
      <c r="AG94" s="520">
        <f t="shared" si="136"/>
        <v>0</v>
      </c>
      <c r="AI94" s="5" t="s">
        <v>79</v>
      </c>
      <c r="AJ94" s="13" t="s">
        <v>76</v>
      </c>
      <c r="AK94" s="584">
        <f t="shared" si="132"/>
        <v>0</v>
      </c>
      <c r="AL94" s="1511">
        <v>3</v>
      </c>
      <c r="AM94" s="1511">
        <v>3</v>
      </c>
      <c r="AN94" s="1511">
        <v>3</v>
      </c>
      <c r="AO94" s="1511">
        <v>3</v>
      </c>
      <c r="AP94" s="1511">
        <v>3</v>
      </c>
      <c r="AQ94" s="1511">
        <v>3</v>
      </c>
      <c r="AR94" s="1511">
        <v>3</v>
      </c>
      <c r="AS94" s="1511">
        <v>3</v>
      </c>
      <c r="AT94" s="1511">
        <v>3</v>
      </c>
      <c r="AU94" s="1511">
        <v>3</v>
      </c>
      <c r="AV94" s="1511">
        <v>3</v>
      </c>
      <c r="AW94" s="1498">
        <v>3</v>
      </c>
      <c r="AY94" s="5" t="s">
        <v>79</v>
      </c>
      <c r="AZ94" s="36" t="s">
        <v>76</v>
      </c>
      <c r="BA94" s="544">
        <f t="shared" si="129"/>
        <v>0</v>
      </c>
      <c r="BB94" s="519">
        <f t="shared" si="131"/>
        <v>0</v>
      </c>
      <c r="BC94" s="500">
        <f t="shared" si="130"/>
        <v>0</v>
      </c>
      <c r="BD94" s="500">
        <f t="shared" si="130"/>
        <v>0</v>
      </c>
      <c r="BE94" s="500">
        <f t="shared" si="130"/>
        <v>0</v>
      </c>
      <c r="BF94" s="500">
        <f t="shared" si="130"/>
        <v>0</v>
      </c>
      <c r="BG94" s="500">
        <f t="shared" si="130"/>
        <v>0</v>
      </c>
      <c r="BH94" s="500">
        <f t="shared" si="130"/>
        <v>0</v>
      </c>
      <c r="BI94" s="500">
        <f t="shared" si="130"/>
        <v>0</v>
      </c>
      <c r="BJ94" s="500">
        <f t="shared" si="130"/>
        <v>0</v>
      </c>
      <c r="BK94" s="500">
        <f t="shared" si="130"/>
        <v>0</v>
      </c>
      <c r="BL94" s="500">
        <f t="shared" si="130"/>
        <v>0</v>
      </c>
      <c r="BM94" s="529">
        <f t="shared" si="130"/>
        <v>0</v>
      </c>
      <c r="CK94" s="30" t="s">
        <v>2</v>
      </c>
      <c r="CL94" s="1134" t="str">
        <f>'3 Saalis'!CJ92</f>
        <v>0</v>
      </c>
      <c r="CM94" s="8" t="s">
        <v>43</v>
      </c>
      <c r="CN94" s="10"/>
      <c r="CO94" s="447">
        <f>'3 Saalis'!CM92</f>
        <v>0</v>
      </c>
      <c r="CP94" s="8" t="s">
        <v>6</v>
      </c>
      <c r="CQ94" s="18"/>
      <c r="CR94" s="41"/>
      <c r="CS94" s="18"/>
      <c r="CT94" s="10"/>
      <c r="CU94" s="456">
        <f>'3 Saalis'!CS92</f>
        <v>0</v>
      </c>
      <c r="CW94" s="34"/>
    </row>
    <row r="95" spans="2:102" ht="13.5" thickBot="1" x14ac:dyDescent="0.25">
      <c r="B95" s="57"/>
      <c r="C95" s="68" t="s">
        <v>115</v>
      </c>
      <c r="D95" s="450">
        <f t="shared" si="127"/>
        <v>0</v>
      </c>
      <c r="E95" s="1470"/>
      <c r="F95" s="1471"/>
      <c r="G95" s="1471"/>
      <c r="H95" s="1471"/>
      <c r="I95" s="1471"/>
      <c r="J95" s="1471"/>
      <c r="K95" s="1471"/>
      <c r="L95" s="1471"/>
      <c r="M95" s="1471"/>
      <c r="N95" s="1471"/>
      <c r="O95" s="1471"/>
      <c r="P95" s="1472"/>
      <c r="S95" s="255"/>
      <c r="T95" s="267" t="s">
        <v>115</v>
      </c>
      <c r="U95" s="450">
        <f t="shared" si="133"/>
        <v>0</v>
      </c>
      <c r="V95" s="533">
        <f>E95*'5 Kalan alkukäsittely satamassa'!$D$11</f>
        <v>0</v>
      </c>
      <c r="W95" s="516">
        <f>F95*'5 Kalan alkukäsittely satamassa'!$D$11</f>
        <v>0</v>
      </c>
      <c r="X95" s="516">
        <f>G95*'5 Kalan alkukäsittely satamassa'!$D$11</f>
        <v>0</v>
      </c>
      <c r="Y95" s="516">
        <f>H95*'5 Kalan alkukäsittely satamassa'!$D$11</f>
        <v>0</v>
      </c>
      <c r="Z95" s="516">
        <f>I95*'5 Kalan alkukäsittely satamassa'!$D$11</f>
        <v>0</v>
      </c>
      <c r="AA95" s="516">
        <f>J95*'5 Kalan alkukäsittely satamassa'!$D$11</f>
        <v>0</v>
      </c>
      <c r="AB95" s="516">
        <f>K95*'5 Kalan alkukäsittely satamassa'!$D$11</f>
        <v>0</v>
      </c>
      <c r="AC95" s="516">
        <f>L95*'5 Kalan alkukäsittely satamassa'!$D$11</f>
        <v>0</v>
      </c>
      <c r="AD95" s="516">
        <f>M95*'5 Kalan alkukäsittely satamassa'!$D$11</f>
        <v>0</v>
      </c>
      <c r="AE95" s="516">
        <f>N95*'5 Kalan alkukäsittely satamassa'!$D$11</f>
        <v>0</v>
      </c>
      <c r="AF95" s="516">
        <f>O95*'5 Kalan alkukäsittely satamassa'!$D$11</f>
        <v>0</v>
      </c>
      <c r="AG95" s="490">
        <f>P95*'5 Kalan alkukäsittely satamassa'!$D$11</f>
        <v>0</v>
      </c>
      <c r="AI95" s="57"/>
      <c r="AJ95" s="68" t="s">
        <v>115</v>
      </c>
      <c r="AK95" s="590">
        <f t="shared" si="132"/>
        <v>0</v>
      </c>
      <c r="AL95" s="1507">
        <v>8.9600000000000009</v>
      </c>
      <c r="AM95" s="1507">
        <v>8.9600000000000009</v>
      </c>
      <c r="AN95" s="1507">
        <v>9.11</v>
      </c>
      <c r="AO95" s="1507">
        <v>6.58</v>
      </c>
      <c r="AP95" s="1507">
        <v>6.44</v>
      </c>
      <c r="AQ95" s="1507">
        <v>6.48</v>
      </c>
      <c r="AR95" s="1507">
        <v>6.48</v>
      </c>
      <c r="AS95" s="1507">
        <v>5.86</v>
      </c>
      <c r="AT95" s="1507">
        <v>5.31</v>
      </c>
      <c r="AU95" s="1507">
        <v>5.95</v>
      </c>
      <c r="AV95" s="1507">
        <v>4.29</v>
      </c>
      <c r="AW95" s="1503">
        <v>4.29</v>
      </c>
      <c r="AY95" s="57"/>
      <c r="AZ95" s="68" t="s">
        <v>115</v>
      </c>
      <c r="BA95" s="501">
        <f t="shared" si="129"/>
        <v>0</v>
      </c>
      <c r="BB95" s="530">
        <f t="shared" si="131"/>
        <v>0</v>
      </c>
      <c r="BC95" s="524">
        <f t="shared" si="130"/>
        <v>0</v>
      </c>
      <c r="BD95" s="524">
        <f t="shared" si="130"/>
        <v>0</v>
      </c>
      <c r="BE95" s="524">
        <f t="shared" si="130"/>
        <v>0</v>
      </c>
      <c r="BF95" s="524">
        <f t="shared" si="130"/>
        <v>0</v>
      </c>
      <c r="BG95" s="524">
        <f t="shared" si="130"/>
        <v>0</v>
      </c>
      <c r="BH95" s="524">
        <f t="shared" si="130"/>
        <v>0</v>
      </c>
      <c r="BI95" s="524">
        <f t="shared" si="130"/>
        <v>0</v>
      </c>
      <c r="BJ95" s="524">
        <f t="shared" si="130"/>
        <v>0</v>
      </c>
      <c r="BK95" s="524">
        <f t="shared" si="130"/>
        <v>0</v>
      </c>
      <c r="BL95" s="524">
        <f t="shared" si="130"/>
        <v>0</v>
      </c>
      <c r="BM95" s="525">
        <f t="shared" si="130"/>
        <v>0</v>
      </c>
      <c r="CK95" s="30" t="s">
        <v>3</v>
      </c>
      <c r="CL95" s="1134" t="str">
        <f>'3 Saalis'!CJ93</f>
        <v>0</v>
      </c>
      <c r="CM95" s="8" t="s">
        <v>44</v>
      </c>
      <c r="CN95" s="10"/>
      <c r="CO95" s="447">
        <f>'3 Saalis'!CM93</f>
        <v>0</v>
      </c>
      <c r="CP95" s="40" t="s">
        <v>26</v>
      </c>
      <c r="CQ95" s="14"/>
      <c r="CR95" s="14"/>
      <c r="CS95" s="14"/>
      <c r="CT95" s="17"/>
      <c r="CU95" s="455">
        <f>'3 Saalis'!CS93</f>
        <v>0</v>
      </c>
    </row>
    <row r="96" spans="2:102" ht="13.5" thickBot="1" x14ac:dyDescent="0.25">
      <c r="B96" s="57"/>
      <c r="C96" s="68" t="s">
        <v>116</v>
      </c>
      <c r="D96" s="450">
        <f t="shared" si="127"/>
        <v>0</v>
      </c>
      <c r="E96" s="1470"/>
      <c r="F96" s="1471"/>
      <c r="G96" s="1471"/>
      <c r="H96" s="1471"/>
      <c r="I96" s="1471"/>
      <c r="J96" s="1471"/>
      <c r="K96" s="1471"/>
      <c r="L96" s="1471"/>
      <c r="M96" s="1471"/>
      <c r="N96" s="1471"/>
      <c r="O96" s="1471"/>
      <c r="P96" s="1472"/>
      <c r="S96" s="255"/>
      <c r="T96" s="267" t="s">
        <v>116</v>
      </c>
      <c r="U96" s="450">
        <f t="shared" si="133"/>
        <v>0</v>
      </c>
      <c r="V96" s="533">
        <f>E96*'5 Kalan alkukäsittely satamassa'!$D$12</f>
        <v>0</v>
      </c>
      <c r="W96" s="516">
        <f>F96*'5 Kalan alkukäsittely satamassa'!$D$12</f>
        <v>0</v>
      </c>
      <c r="X96" s="516">
        <f>G96*'5 Kalan alkukäsittely satamassa'!$D$12</f>
        <v>0</v>
      </c>
      <c r="Y96" s="516">
        <f>H96*'5 Kalan alkukäsittely satamassa'!$D$12</f>
        <v>0</v>
      </c>
      <c r="Z96" s="516">
        <f>I96*'5 Kalan alkukäsittely satamassa'!$D$12</f>
        <v>0</v>
      </c>
      <c r="AA96" s="516">
        <f>J96*'5 Kalan alkukäsittely satamassa'!$D$12</f>
        <v>0</v>
      </c>
      <c r="AB96" s="516">
        <f>K96*'5 Kalan alkukäsittely satamassa'!$D$12</f>
        <v>0</v>
      </c>
      <c r="AC96" s="516">
        <f>L96*'5 Kalan alkukäsittely satamassa'!$D$12</f>
        <v>0</v>
      </c>
      <c r="AD96" s="516">
        <f>M96*'5 Kalan alkukäsittely satamassa'!$D$12</f>
        <v>0</v>
      </c>
      <c r="AE96" s="516">
        <f>N96*'5 Kalan alkukäsittely satamassa'!$D$12</f>
        <v>0</v>
      </c>
      <c r="AF96" s="516">
        <f>O96*'5 Kalan alkukäsittely satamassa'!$D$12</f>
        <v>0</v>
      </c>
      <c r="AG96" s="490">
        <f>P96*'5 Kalan alkukäsittely satamassa'!$D$12</f>
        <v>0</v>
      </c>
      <c r="AI96" s="57"/>
      <c r="AJ96" s="68" t="s">
        <v>116</v>
      </c>
      <c r="AK96" s="590">
        <f t="shared" si="132"/>
        <v>0</v>
      </c>
      <c r="AL96" s="1501">
        <v>5.55</v>
      </c>
      <c r="AM96" s="1502">
        <v>5.55</v>
      </c>
      <c r="AN96" s="1502">
        <v>5.69</v>
      </c>
      <c r="AO96" s="1502">
        <v>6.53</v>
      </c>
      <c r="AP96" s="1502">
        <v>5.94</v>
      </c>
      <c r="AQ96" s="1502">
        <v>5.88</v>
      </c>
      <c r="AR96" s="1502">
        <v>5.67</v>
      </c>
      <c r="AS96" s="1502">
        <v>5.37</v>
      </c>
      <c r="AT96" s="1502">
        <v>4.84</v>
      </c>
      <c r="AU96" s="1502">
        <v>4.4800000000000004</v>
      </c>
      <c r="AV96" s="1502">
        <v>4.66</v>
      </c>
      <c r="AW96" s="1503">
        <v>4.32</v>
      </c>
      <c r="AY96" s="57"/>
      <c r="AZ96" s="68" t="s">
        <v>116</v>
      </c>
      <c r="BA96" s="501">
        <f t="shared" si="129"/>
        <v>0</v>
      </c>
      <c r="BB96" s="530">
        <f t="shared" si="131"/>
        <v>0</v>
      </c>
      <c r="BC96" s="524">
        <f t="shared" si="130"/>
        <v>0</v>
      </c>
      <c r="BD96" s="524">
        <f t="shared" si="130"/>
        <v>0</v>
      </c>
      <c r="BE96" s="524">
        <f t="shared" si="130"/>
        <v>0</v>
      </c>
      <c r="BF96" s="524">
        <f t="shared" si="130"/>
        <v>0</v>
      </c>
      <c r="BG96" s="524">
        <f t="shared" si="130"/>
        <v>0</v>
      </c>
      <c r="BH96" s="524">
        <f t="shared" si="130"/>
        <v>0</v>
      </c>
      <c r="BI96" s="524">
        <f t="shared" si="130"/>
        <v>0</v>
      </c>
      <c r="BJ96" s="524">
        <f t="shared" si="130"/>
        <v>0</v>
      </c>
      <c r="BK96" s="524">
        <f t="shared" si="130"/>
        <v>0</v>
      </c>
      <c r="BL96" s="524">
        <f t="shared" si="130"/>
        <v>0</v>
      </c>
      <c r="BM96" s="525">
        <f t="shared" si="130"/>
        <v>0</v>
      </c>
      <c r="CK96" s="34"/>
      <c r="CL96" s="34" t="s">
        <v>1</v>
      </c>
      <c r="CM96" s="45"/>
      <c r="CN96" s="34"/>
      <c r="CP96" s="46"/>
      <c r="CQ96" s="34"/>
    </row>
    <row r="97" spans="2:102" ht="13.5" thickBot="1" x14ac:dyDescent="0.25">
      <c r="B97" s="57"/>
      <c r="C97" s="68" t="s">
        <v>117</v>
      </c>
      <c r="D97" s="450">
        <f t="shared" si="127"/>
        <v>0</v>
      </c>
      <c r="E97" s="1470"/>
      <c r="F97" s="1471"/>
      <c r="G97" s="1471"/>
      <c r="H97" s="1471"/>
      <c r="I97" s="1471"/>
      <c r="J97" s="1471"/>
      <c r="K97" s="1471"/>
      <c r="L97" s="1471"/>
      <c r="M97" s="1471"/>
      <c r="N97" s="1471"/>
      <c r="O97" s="1471"/>
      <c r="P97" s="1472"/>
      <c r="S97" s="255"/>
      <c r="T97" s="267" t="s">
        <v>117</v>
      </c>
      <c r="U97" s="450">
        <f t="shared" si="133"/>
        <v>0</v>
      </c>
      <c r="V97" s="533">
        <f>E97*'5 Kalan alkukäsittely satamassa'!$D$13</f>
        <v>0</v>
      </c>
      <c r="W97" s="516">
        <f>F97*'5 Kalan alkukäsittely satamassa'!$D$13</f>
        <v>0</v>
      </c>
      <c r="X97" s="516">
        <f>G97*'5 Kalan alkukäsittely satamassa'!$D$13</f>
        <v>0</v>
      </c>
      <c r="Y97" s="516">
        <f>H97*'5 Kalan alkukäsittely satamassa'!$D$13</f>
        <v>0</v>
      </c>
      <c r="Z97" s="516">
        <f>I97*'5 Kalan alkukäsittely satamassa'!$D$13</f>
        <v>0</v>
      </c>
      <c r="AA97" s="516">
        <f>J97*'5 Kalan alkukäsittely satamassa'!$D$13</f>
        <v>0</v>
      </c>
      <c r="AB97" s="516">
        <f>K97*'5 Kalan alkukäsittely satamassa'!$D$13</f>
        <v>0</v>
      </c>
      <c r="AC97" s="516">
        <f>L97*'5 Kalan alkukäsittely satamassa'!$D$13</f>
        <v>0</v>
      </c>
      <c r="AD97" s="516">
        <f>M97*'5 Kalan alkukäsittely satamassa'!$D$13</f>
        <v>0</v>
      </c>
      <c r="AE97" s="516">
        <f>N97*'5 Kalan alkukäsittely satamassa'!$D$13</f>
        <v>0</v>
      </c>
      <c r="AF97" s="516">
        <f>O97*'5 Kalan alkukäsittely satamassa'!$D$13</f>
        <v>0</v>
      </c>
      <c r="AG97" s="490">
        <f>P97*'5 Kalan alkukäsittely satamassa'!$D$13</f>
        <v>0</v>
      </c>
      <c r="AI97" s="57"/>
      <c r="AJ97" s="68" t="s">
        <v>117</v>
      </c>
      <c r="AK97" s="590">
        <f t="shared" si="132"/>
        <v>0</v>
      </c>
      <c r="AL97" s="1502">
        <v>4.7699999999999996</v>
      </c>
      <c r="AM97" s="1502">
        <v>4.9000000000000004</v>
      </c>
      <c r="AN97" s="1502">
        <v>4.95</v>
      </c>
      <c r="AO97" s="1502">
        <v>4.9400000000000004</v>
      </c>
      <c r="AP97" s="1502">
        <v>4.93</v>
      </c>
      <c r="AQ97" s="1502">
        <v>4.95</v>
      </c>
      <c r="AR97" s="1502">
        <v>4.8</v>
      </c>
      <c r="AS97" s="1502">
        <v>4.78</v>
      </c>
      <c r="AT97" s="1502">
        <v>4.22</v>
      </c>
      <c r="AU97" s="1502">
        <v>3.68</v>
      </c>
      <c r="AV97" s="1502">
        <v>3.99</v>
      </c>
      <c r="AW97" s="1503">
        <v>4.03</v>
      </c>
      <c r="AY97" s="57"/>
      <c r="AZ97" s="68" t="s">
        <v>117</v>
      </c>
      <c r="BA97" s="501">
        <f t="shared" si="129"/>
        <v>0</v>
      </c>
      <c r="BB97" s="530">
        <f t="shared" si="131"/>
        <v>0</v>
      </c>
      <c r="BC97" s="524">
        <f t="shared" si="130"/>
        <v>0</v>
      </c>
      <c r="BD97" s="524">
        <f t="shared" si="130"/>
        <v>0</v>
      </c>
      <c r="BE97" s="524">
        <f t="shared" si="130"/>
        <v>0</v>
      </c>
      <c r="BF97" s="524">
        <f t="shared" si="130"/>
        <v>0</v>
      </c>
      <c r="BG97" s="524">
        <f t="shared" si="130"/>
        <v>0</v>
      </c>
      <c r="BH97" s="524">
        <f t="shared" si="130"/>
        <v>0</v>
      </c>
      <c r="BI97" s="524">
        <f t="shared" si="130"/>
        <v>0</v>
      </c>
      <c r="BJ97" s="524">
        <f t="shared" si="130"/>
        <v>0</v>
      </c>
      <c r="BK97" s="524">
        <f t="shared" si="130"/>
        <v>0</v>
      </c>
      <c r="BL97" s="524">
        <f t="shared" si="130"/>
        <v>0</v>
      </c>
      <c r="BM97" s="525">
        <f t="shared" si="130"/>
        <v>0</v>
      </c>
      <c r="CK97" s="5" t="s">
        <v>380</v>
      </c>
      <c r="CL97" s="83" t="s">
        <v>40</v>
      </c>
      <c r="CM97" s="47"/>
      <c r="CN97" s="48"/>
      <c r="CO97" s="48"/>
      <c r="CP97" s="48"/>
      <c r="CQ97" s="48"/>
      <c r="CR97" s="41" t="s">
        <v>42</v>
      </c>
      <c r="CS97" s="48"/>
      <c r="CT97" s="48"/>
      <c r="CU97" s="48"/>
      <c r="CV97" s="48"/>
      <c r="CW97" s="48"/>
      <c r="CX97" s="49"/>
    </row>
    <row r="98" spans="2:102" ht="13.5" thickBot="1" x14ac:dyDescent="0.25">
      <c r="B98" s="57"/>
      <c r="C98" s="68" t="s">
        <v>118</v>
      </c>
      <c r="D98" s="450">
        <f t="shared" si="127"/>
        <v>0</v>
      </c>
      <c r="E98" s="1470"/>
      <c r="F98" s="1471"/>
      <c r="G98" s="1471"/>
      <c r="H98" s="1471"/>
      <c r="I98" s="1471"/>
      <c r="J98" s="1471"/>
      <c r="K98" s="1471"/>
      <c r="L98" s="1471"/>
      <c r="M98" s="1471"/>
      <c r="N98" s="1471"/>
      <c r="O98" s="1471"/>
      <c r="P98" s="1472"/>
      <c r="S98" s="255"/>
      <c r="T98" s="267" t="s">
        <v>118</v>
      </c>
      <c r="U98" s="450">
        <f t="shared" si="133"/>
        <v>0</v>
      </c>
      <c r="V98" s="533">
        <f>E98*'5 Kalan alkukäsittely satamassa'!$D$14</f>
        <v>0</v>
      </c>
      <c r="W98" s="516">
        <f>F98*'5 Kalan alkukäsittely satamassa'!$D$14</f>
        <v>0</v>
      </c>
      <c r="X98" s="516">
        <f>G98*'5 Kalan alkukäsittely satamassa'!$D$14</f>
        <v>0</v>
      </c>
      <c r="Y98" s="516">
        <f>H98*'5 Kalan alkukäsittely satamassa'!$D$14</f>
        <v>0</v>
      </c>
      <c r="Z98" s="516">
        <f>I98*'5 Kalan alkukäsittely satamassa'!$D$14</f>
        <v>0</v>
      </c>
      <c r="AA98" s="516">
        <f>J98*'5 Kalan alkukäsittely satamassa'!$D$14</f>
        <v>0</v>
      </c>
      <c r="AB98" s="516">
        <f>K98*'5 Kalan alkukäsittely satamassa'!$D$14</f>
        <v>0</v>
      </c>
      <c r="AC98" s="516">
        <f>L98*'5 Kalan alkukäsittely satamassa'!$D$14</f>
        <v>0</v>
      </c>
      <c r="AD98" s="516">
        <f>M98*'5 Kalan alkukäsittely satamassa'!$D$14</f>
        <v>0</v>
      </c>
      <c r="AE98" s="516">
        <f>N98*'5 Kalan alkukäsittely satamassa'!$D$14</f>
        <v>0</v>
      </c>
      <c r="AF98" s="516">
        <f>O98*'5 Kalan alkukäsittely satamassa'!$D$14</f>
        <v>0</v>
      </c>
      <c r="AG98" s="490">
        <f>P98*'5 Kalan alkukäsittely satamassa'!$D$14</f>
        <v>0</v>
      </c>
      <c r="AI98" s="57"/>
      <c r="AJ98" s="68" t="s">
        <v>118</v>
      </c>
      <c r="AK98" s="590">
        <f t="shared" si="132"/>
        <v>0</v>
      </c>
      <c r="AL98" s="1502">
        <v>3.66</v>
      </c>
      <c r="AM98" s="1502">
        <v>3.89</v>
      </c>
      <c r="AN98" s="1502">
        <v>3.61</v>
      </c>
      <c r="AO98" s="1502">
        <v>3.6</v>
      </c>
      <c r="AP98" s="1502">
        <v>3.61</v>
      </c>
      <c r="AQ98" s="1502">
        <v>3.5</v>
      </c>
      <c r="AR98" s="1502">
        <v>3.35</v>
      </c>
      <c r="AS98" s="1502">
        <v>3.45</v>
      </c>
      <c r="AT98" s="1502">
        <v>3.2</v>
      </c>
      <c r="AU98" s="1502">
        <v>2.5499999999999998</v>
      </c>
      <c r="AV98" s="1502">
        <v>2.4</v>
      </c>
      <c r="AW98" s="1503">
        <v>3.01</v>
      </c>
      <c r="AY98" s="57"/>
      <c r="AZ98" s="68" t="s">
        <v>118</v>
      </c>
      <c r="BA98" s="501">
        <f t="shared" si="129"/>
        <v>0</v>
      </c>
      <c r="BB98" s="530">
        <f t="shared" si="131"/>
        <v>0</v>
      </c>
      <c r="BC98" s="524">
        <f t="shared" si="130"/>
        <v>0</v>
      </c>
      <c r="BD98" s="524">
        <f t="shared" si="130"/>
        <v>0</v>
      </c>
      <c r="BE98" s="524">
        <f t="shared" si="130"/>
        <v>0</v>
      </c>
      <c r="BF98" s="524">
        <f t="shared" si="130"/>
        <v>0</v>
      </c>
      <c r="BG98" s="524">
        <f t="shared" si="130"/>
        <v>0</v>
      </c>
      <c r="BH98" s="524">
        <f t="shared" si="130"/>
        <v>0</v>
      </c>
      <c r="BI98" s="524">
        <f t="shared" si="130"/>
        <v>0</v>
      </c>
      <c r="BJ98" s="524">
        <f t="shared" si="130"/>
        <v>0</v>
      </c>
      <c r="BK98" s="524">
        <f t="shared" si="130"/>
        <v>0</v>
      </c>
      <c r="BL98" s="524">
        <f t="shared" si="130"/>
        <v>0</v>
      </c>
      <c r="BM98" s="525">
        <f t="shared" si="130"/>
        <v>0</v>
      </c>
      <c r="CK98" s="57"/>
      <c r="CL98" s="69" t="s">
        <v>41</v>
      </c>
      <c r="CM98" s="68">
        <v>1</v>
      </c>
      <c r="CN98" s="84">
        <v>2</v>
      </c>
      <c r="CO98" s="85">
        <v>3</v>
      </c>
      <c r="CP98" s="85">
        <v>4</v>
      </c>
      <c r="CQ98" s="85">
        <v>5</v>
      </c>
      <c r="CR98" s="85">
        <v>6</v>
      </c>
      <c r="CS98" s="85">
        <v>7</v>
      </c>
      <c r="CT98" s="85">
        <v>8</v>
      </c>
      <c r="CU98" s="85">
        <v>9</v>
      </c>
      <c r="CV98" s="85">
        <v>10</v>
      </c>
      <c r="CW98" s="85">
        <v>11</v>
      </c>
      <c r="CX98" s="86">
        <v>12</v>
      </c>
    </row>
    <row r="99" spans="2:102" x14ac:dyDescent="0.2">
      <c r="B99" s="57"/>
      <c r="C99" s="68" t="s">
        <v>86</v>
      </c>
      <c r="D99" s="450">
        <f t="shared" si="127"/>
        <v>0</v>
      </c>
      <c r="E99" s="1470"/>
      <c r="F99" s="1471"/>
      <c r="G99" s="1471"/>
      <c r="H99" s="1471"/>
      <c r="I99" s="1471"/>
      <c r="J99" s="1471"/>
      <c r="K99" s="1471"/>
      <c r="L99" s="1471"/>
      <c r="M99" s="1471"/>
      <c r="N99" s="1471"/>
      <c r="O99" s="1471"/>
      <c r="P99" s="1472"/>
      <c r="S99" s="255"/>
      <c r="T99" s="267" t="s">
        <v>86</v>
      </c>
      <c r="U99" s="450">
        <f t="shared" si="133"/>
        <v>0</v>
      </c>
      <c r="V99" s="533">
        <f>E99*'5 Kalan alkukäsittely satamassa'!$F$11</f>
        <v>0</v>
      </c>
      <c r="W99" s="516">
        <f>F99*'5 Kalan alkukäsittely satamassa'!$F$11</f>
        <v>0</v>
      </c>
      <c r="X99" s="516">
        <f>G99*'5 Kalan alkukäsittely satamassa'!$F$11</f>
        <v>0</v>
      </c>
      <c r="Y99" s="516">
        <f>H99*'5 Kalan alkukäsittely satamassa'!$F$11</f>
        <v>0</v>
      </c>
      <c r="Z99" s="516">
        <f>I99*'5 Kalan alkukäsittely satamassa'!$F$11</f>
        <v>0</v>
      </c>
      <c r="AA99" s="516">
        <f>J99*'5 Kalan alkukäsittely satamassa'!$F$11</f>
        <v>0</v>
      </c>
      <c r="AB99" s="516">
        <f>K99*'5 Kalan alkukäsittely satamassa'!$F$11</f>
        <v>0</v>
      </c>
      <c r="AC99" s="516">
        <f>L99*'5 Kalan alkukäsittely satamassa'!$F$11</f>
        <v>0</v>
      </c>
      <c r="AD99" s="516">
        <f>M99*'5 Kalan alkukäsittely satamassa'!$F$11</f>
        <v>0</v>
      </c>
      <c r="AE99" s="516">
        <f>N99*'5 Kalan alkukäsittely satamassa'!$F$11</f>
        <v>0</v>
      </c>
      <c r="AF99" s="516">
        <f>O99*'5 Kalan alkukäsittely satamassa'!$F$11</f>
        <v>0</v>
      </c>
      <c r="AG99" s="490">
        <f>P99*'5 Kalan alkukäsittely satamassa'!$F$11</f>
        <v>0</v>
      </c>
      <c r="AI99" s="57"/>
      <c r="AJ99" s="68" t="s">
        <v>86</v>
      </c>
      <c r="AK99" s="590">
        <f t="shared" si="132"/>
        <v>0</v>
      </c>
      <c r="AL99" s="1502">
        <v>15</v>
      </c>
      <c r="AM99" s="1502">
        <v>15</v>
      </c>
      <c r="AN99" s="1502">
        <v>15</v>
      </c>
      <c r="AO99" s="1502">
        <v>15</v>
      </c>
      <c r="AP99" s="1502">
        <v>15</v>
      </c>
      <c r="AQ99" s="1502">
        <v>15</v>
      </c>
      <c r="AR99" s="1502">
        <v>15</v>
      </c>
      <c r="AS99" s="1502">
        <v>15</v>
      </c>
      <c r="AT99" s="1502">
        <v>15</v>
      </c>
      <c r="AU99" s="1502">
        <v>15</v>
      </c>
      <c r="AV99" s="1502">
        <v>15</v>
      </c>
      <c r="AW99" s="1503">
        <v>15</v>
      </c>
      <c r="AY99" s="57"/>
      <c r="AZ99" s="59" t="s">
        <v>86</v>
      </c>
      <c r="BA99" s="501">
        <f t="shared" si="129"/>
        <v>0</v>
      </c>
      <c r="BB99" s="530">
        <f t="shared" si="131"/>
        <v>0</v>
      </c>
      <c r="BC99" s="524">
        <f t="shared" si="130"/>
        <v>0</v>
      </c>
      <c r="BD99" s="524">
        <f t="shared" si="130"/>
        <v>0</v>
      </c>
      <c r="BE99" s="524">
        <f t="shared" si="130"/>
        <v>0</v>
      </c>
      <c r="BF99" s="524">
        <f t="shared" si="130"/>
        <v>0</v>
      </c>
      <c r="BG99" s="524">
        <f t="shared" si="130"/>
        <v>0</v>
      </c>
      <c r="BH99" s="524">
        <f t="shared" si="130"/>
        <v>0</v>
      </c>
      <c r="BI99" s="524">
        <f t="shared" si="130"/>
        <v>0</v>
      </c>
      <c r="BJ99" s="524">
        <f t="shared" si="130"/>
        <v>0</v>
      </c>
      <c r="BK99" s="524">
        <f t="shared" si="130"/>
        <v>0</v>
      </c>
      <c r="BL99" s="524">
        <f t="shared" si="130"/>
        <v>0</v>
      </c>
      <c r="BM99" s="525">
        <f t="shared" si="130"/>
        <v>0</v>
      </c>
      <c r="CK99" s="5" t="s">
        <v>100</v>
      </c>
      <c r="CL99" s="425">
        <f>SUM(CM99:CX99)</f>
        <v>0</v>
      </c>
      <c r="CM99" s="509">
        <f>CM7*'3 Saalis'!CK97</f>
        <v>0</v>
      </c>
      <c r="CN99" s="434">
        <f>CN7*'3 Saalis'!CL97</f>
        <v>0</v>
      </c>
      <c r="CO99" s="434">
        <f>CO7*'3 Saalis'!CM97</f>
        <v>0</v>
      </c>
      <c r="CP99" s="434">
        <f>CP7*'3 Saalis'!CN97</f>
        <v>0</v>
      </c>
      <c r="CQ99" s="434">
        <f>CQ7*'3 Saalis'!CO97</f>
        <v>0</v>
      </c>
      <c r="CR99" s="434">
        <f>CR7*'3 Saalis'!CP97</f>
        <v>0</v>
      </c>
      <c r="CS99" s="434">
        <f>CS7*'3 Saalis'!CQ97</f>
        <v>0</v>
      </c>
      <c r="CT99" s="434">
        <f>CT7*'3 Saalis'!CR97</f>
        <v>0</v>
      </c>
      <c r="CU99" s="434">
        <f>CU7*'3 Saalis'!CS97</f>
        <v>0</v>
      </c>
      <c r="CV99" s="434">
        <f>CV7*'3 Saalis'!CT97</f>
        <v>0</v>
      </c>
      <c r="CW99" s="434">
        <f>CW7*'3 Saalis'!CU97</f>
        <v>0</v>
      </c>
      <c r="CX99" s="435">
        <f>CX7*'3 Saalis'!CV97</f>
        <v>0</v>
      </c>
    </row>
    <row r="100" spans="2:102" x14ac:dyDescent="0.2">
      <c r="B100" s="57"/>
      <c r="C100" s="68" t="s">
        <v>87</v>
      </c>
      <c r="D100" s="450">
        <f t="shared" si="127"/>
        <v>0</v>
      </c>
      <c r="E100" s="1470"/>
      <c r="F100" s="1471"/>
      <c r="G100" s="1471"/>
      <c r="H100" s="1471"/>
      <c r="I100" s="1471"/>
      <c r="J100" s="1471"/>
      <c r="K100" s="1471"/>
      <c r="L100" s="1471"/>
      <c r="M100" s="1471"/>
      <c r="N100" s="1471"/>
      <c r="O100" s="1471"/>
      <c r="P100" s="1472"/>
      <c r="S100" s="255"/>
      <c r="T100" s="267" t="s">
        <v>87</v>
      </c>
      <c r="U100" s="450">
        <f t="shared" si="133"/>
        <v>0</v>
      </c>
      <c r="V100" s="533">
        <f>E100*'5 Kalan alkukäsittely satamassa'!$F$12</f>
        <v>0</v>
      </c>
      <c r="W100" s="516">
        <f>F100*'5 Kalan alkukäsittely satamassa'!$F$12</f>
        <v>0</v>
      </c>
      <c r="X100" s="516">
        <f>G100*'5 Kalan alkukäsittely satamassa'!$F$12</f>
        <v>0</v>
      </c>
      <c r="Y100" s="516">
        <f>H100*'5 Kalan alkukäsittely satamassa'!$F$12</f>
        <v>0</v>
      </c>
      <c r="Z100" s="516">
        <f>I100*'5 Kalan alkukäsittely satamassa'!$F$12</f>
        <v>0</v>
      </c>
      <c r="AA100" s="516">
        <f>J100*'5 Kalan alkukäsittely satamassa'!$F$12</f>
        <v>0</v>
      </c>
      <c r="AB100" s="516">
        <f>K100*'5 Kalan alkukäsittely satamassa'!$F$12</f>
        <v>0</v>
      </c>
      <c r="AC100" s="516">
        <f>L100*'5 Kalan alkukäsittely satamassa'!$F$12</f>
        <v>0</v>
      </c>
      <c r="AD100" s="516">
        <f>M100*'5 Kalan alkukäsittely satamassa'!$F$12</f>
        <v>0</v>
      </c>
      <c r="AE100" s="516">
        <f>N100*'5 Kalan alkukäsittely satamassa'!$F$12</f>
        <v>0</v>
      </c>
      <c r="AF100" s="516">
        <f>O100*'5 Kalan alkukäsittely satamassa'!$F$12</f>
        <v>0</v>
      </c>
      <c r="AG100" s="490">
        <f>P100*'5 Kalan alkukäsittely satamassa'!$F$12</f>
        <v>0</v>
      </c>
      <c r="AI100" s="57"/>
      <c r="AJ100" s="68" t="s">
        <v>87</v>
      </c>
      <c r="AK100" s="590">
        <f t="shared" si="132"/>
        <v>0</v>
      </c>
      <c r="AL100" s="1502">
        <v>14</v>
      </c>
      <c r="AM100" s="1502">
        <v>14</v>
      </c>
      <c r="AN100" s="1502">
        <v>14</v>
      </c>
      <c r="AO100" s="1502">
        <v>14</v>
      </c>
      <c r="AP100" s="1502">
        <v>14</v>
      </c>
      <c r="AQ100" s="1502">
        <v>14</v>
      </c>
      <c r="AR100" s="1502">
        <v>14</v>
      </c>
      <c r="AS100" s="1502">
        <v>14</v>
      </c>
      <c r="AT100" s="1502">
        <v>14</v>
      </c>
      <c r="AU100" s="1502">
        <v>14</v>
      </c>
      <c r="AV100" s="1502">
        <v>14</v>
      </c>
      <c r="AW100" s="1503">
        <v>14</v>
      </c>
      <c r="AY100" s="57"/>
      <c r="AZ100" s="59" t="s">
        <v>87</v>
      </c>
      <c r="BA100" s="501">
        <f t="shared" si="129"/>
        <v>0</v>
      </c>
      <c r="BB100" s="530">
        <f t="shared" si="131"/>
        <v>0</v>
      </c>
      <c r="BC100" s="524">
        <f t="shared" ref="BC100:BM104" si="137">W100*AM100</f>
        <v>0</v>
      </c>
      <c r="BD100" s="524">
        <f t="shared" si="137"/>
        <v>0</v>
      </c>
      <c r="BE100" s="524">
        <f t="shared" si="137"/>
        <v>0</v>
      </c>
      <c r="BF100" s="524">
        <f t="shared" si="137"/>
        <v>0</v>
      </c>
      <c r="BG100" s="524">
        <f t="shared" si="137"/>
        <v>0</v>
      </c>
      <c r="BH100" s="524">
        <f t="shared" si="137"/>
        <v>0</v>
      </c>
      <c r="BI100" s="524">
        <f t="shared" si="137"/>
        <v>0</v>
      </c>
      <c r="BJ100" s="524">
        <f t="shared" si="137"/>
        <v>0</v>
      </c>
      <c r="BK100" s="524">
        <f t="shared" si="137"/>
        <v>0</v>
      </c>
      <c r="BL100" s="524">
        <f t="shared" si="137"/>
        <v>0</v>
      </c>
      <c r="BM100" s="525">
        <f t="shared" si="137"/>
        <v>0</v>
      </c>
      <c r="CK100" s="57" t="s">
        <v>108</v>
      </c>
      <c r="CL100" s="510">
        <f t="shared" ref="CL100:CL110" si="138">SUM(CM100:CX100)</f>
        <v>0</v>
      </c>
      <c r="CM100" s="511">
        <f>CM8*'3 Saalis'!CK98</f>
        <v>0</v>
      </c>
      <c r="CN100" s="438">
        <f>CN8*'3 Saalis'!CL98</f>
        <v>0</v>
      </c>
      <c r="CO100" s="438">
        <f>CO8*'3 Saalis'!CM98</f>
        <v>0</v>
      </c>
      <c r="CP100" s="438">
        <f>CP8*'3 Saalis'!CN98</f>
        <v>0</v>
      </c>
      <c r="CQ100" s="438">
        <f>CQ8*'3 Saalis'!CO98</f>
        <v>0</v>
      </c>
      <c r="CR100" s="438">
        <f>CR8*'3 Saalis'!CP98</f>
        <v>0</v>
      </c>
      <c r="CS100" s="438">
        <f>CS8*'3 Saalis'!CQ98</f>
        <v>0</v>
      </c>
      <c r="CT100" s="438">
        <f>CT8*'3 Saalis'!CR98</f>
        <v>0</v>
      </c>
      <c r="CU100" s="438">
        <f>CU8*'3 Saalis'!CS98</f>
        <v>0</v>
      </c>
      <c r="CV100" s="438">
        <f>CV8*'3 Saalis'!CT98</f>
        <v>0</v>
      </c>
      <c r="CW100" s="438">
        <f>CW8*'3 Saalis'!CU98</f>
        <v>0</v>
      </c>
      <c r="CX100" s="439">
        <f>CX8*'3 Saalis'!CV98</f>
        <v>0</v>
      </c>
    </row>
    <row r="101" spans="2:102" x14ac:dyDescent="0.2">
      <c r="B101" s="57"/>
      <c r="C101" s="68" t="s">
        <v>88</v>
      </c>
      <c r="D101" s="450">
        <f t="shared" si="127"/>
        <v>0</v>
      </c>
      <c r="E101" s="1470"/>
      <c r="F101" s="1471"/>
      <c r="G101" s="1471"/>
      <c r="H101" s="1471"/>
      <c r="I101" s="1471"/>
      <c r="J101" s="1471"/>
      <c r="K101" s="1471"/>
      <c r="L101" s="1471"/>
      <c r="M101" s="1471"/>
      <c r="N101" s="1471"/>
      <c r="O101" s="1471"/>
      <c r="P101" s="1472"/>
      <c r="S101" s="255"/>
      <c r="T101" s="267" t="s">
        <v>88</v>
      </c>
      <c r="U101" s="450">
        <f t="shared" si="133"/>
        <v>0</v>
      </c>
      <c r="V101" s="533">
        <f>E101*'5 Kalan alkukäsittely satamassa'!$F$13</f>
        <v>0</v>
      </c>
      <c r="W101" s="516">
        <f>F101*'5 Kalan alkukäsittely satamassa'!$F$13</f>
        <v>0</v>
      </c>
      <c r="X101" s="516">
        <f>G101*'5 Kalan alkukäsittely satamassa'!$F$13</f>
        <v>0</v>
      </c>
      <c r="Y101" s="516">
        <f>H101*'5 Kalan alkukäsittely satamassa'!$F$13</f>
        <v>0</v>
      </c>
      <c r="Z101" s="516">
        <f>I101*'5 Kalan alkukäsittely satamassa'!$F$13</f>
        <v>0</v>
      </c>
      <c r="AA101" s="516">
        <f>J101*'5 Kalan alkukäsittely satamassa'!$F$13</f>
        <v>0</v>
      </c>
      <c r="AB101" s="516">
        <f>K101*'5 Kalan alkukäsittely satamassa'!$F$13</f>
        <v>0</v>
      </c>
      <c r="AC101" s="516">
        <f>L101*'5 Kalan alkukäsittely satamassa'!$F$13</f>
        <v>0</v>
      </c>
      <c r="AD101" s="516">
        <f>M101*'5 Kalan alkukäsittely satamassa'!$F$13</f>
        <v>0</v>
      </c>
      <c r="AE101" s="516">
        <f>N101*'5 Kalan alkukäsittely satamassa'!$F$13</f>
        <v>0</v>
      </c>
      <c r="AF101" s="516">
        <f>O101*'5 Kalan alkukäsittely satamassa'!$F$13</f>
        <v>0</v>
      </c>
      <c r="AG101" s="490">
        <f>P101*'5 Kalan alkukäsittely satamassa'!$F$13</f>
        <v>0</v>
      </c>
      <c r="AI101" s="57"/>
      <c r="AJ101" s="68" t="s">
        <v>88</v>
      </c>
      <c r="AK101" s="590">
        <f t="shared" si="132"/>
        <v>0</v>
      </c>
      <c r="AL101" s="1502">
        <v>13</v>
      </c>
      <c r="AM101" s="1502">
        <v>13</v>
      </c>
      <c r="AN101" s="1502">
        <v>13</v>
      </c>
      <c r="AO101" s="1502">
        <v>13</v>
      </c>
      <c r="AP101" s="1502">
        <v>13</v>
      </c>
      <c r="AQ101" s="1502">
        <v>13</v>
      </c>
      <c r="AR101" s="1502">
        <v>13</v>
      </c>
      <c r="AS101" s="1502">
        <v>13</v>
      </c>
      <c r="AT101" s="1502">
        <v>13</v>
      </c>
      <c r="AU101" s="1502">
        <v>13</v>
      </c>
      <c r="AV101" s="1502">
        <v>13</v>
      </c>
      <c r="AW101" s="1503">
        <v>13</v>
      </c>
      <c r="AY101" s="57"/>
      <c r="AZ101" s="59" t="s">
        <v>88</v>
      </c>
      <c r="BA101" s="501">
        <f t="shared" si="129"/>
        <v>0</v>
      </c>
      <c r="BB101" s="530">
        <f t="shared" si="131"/>
        <v>0</v>
      </c>
      <c r="BC101" s="524">
        <f t="shared" si="137"/>
        <v>0</v>
      </c>
      <c r="BD101" s="524">
        <f t="shared" si="137"/>
        <v>0</v>
      </c>
      <c r="BE101" s="524">
        <f t="shared" si="137"/>
        <v>0</v>
      </c>
      <c r="BF101" s="524">
        <f t="shared" si="137"/>
        <v>0</v>
      </c>
      <c r="BG101" s="524">
        <f t="shared" si="137"/>
        <v>0</v>
      </c>
      <c r="BH101" s="524">
        <f t="shared" si="137"/>
        <v>0</v>
      </c>
      <c r="BI101" s="524">
        <f t="shared" si="137"/>
        <v>0</v>
      </c>
      <c r="BJ101" s="524">
        <f t="shared" si="137"/>
        <v>0</v>
      </c>
      <c r="BK101" s="524">
        <f t="shared" si="137"/>
        <v>0</v>
      </c>
      <c r="BL101" s="524">
        <f t="shared" si="137"/>
        <v>0</v>
      </c>
      <c r="BM101" s="525">
        <f t="shared" si="137"/>
        <v>0</v>
      </c>
      <c r="CK101" s="57" t="s">
        <v>101</v>
      </c>
      <c r="CL101" s="510">
        <f t="shared" si="138"/>
        <v>0</v>
      </c>
      <c r="CM101" s="511">
        <f>CM9*'3 Saalis'!CK99</f>
        <v>0</v>
      </c>
      <c r="CN101" s="438">
        <f>CN9*'3 Saalis'!CL99</f>
        <v>0</v>
      </c>
      <c r="CO101" s="438">
        <f>CO9*'3 Saalis'!CM99</f>
        <v>0</v>
      </c>
      <c r="CP101" s="438">
        <f>CP9*'3 Saalis'!CN99</f>
        <v>0</v>
      </c>
      <c r="CQ101" s="438">
        <f>CQ9*'3 Saalis'!CO99</f>
        <v>0</v>
      </c>
      <c r="CR101" s="438">
        <f>CR9*'3 Saalis'!CP99</f>
        <v>0</v>
      </c>
      <c r="CS101" s="438">
        <f>CS9*'3 Saalis'!CQ99</f>
        <v>0</v>
      </c>
      <c r="CT101" s="438">
        <f>CT9*'3 Saalis'!CR99</f>
        <v>0</v>
      </c>
      <c r="CU101" s="438">
        <f>CU9*'3 Saalis'!CS99</f>
        <v>0</v>
      </c>
      <c r="CV101" s="438">
        <f>CV9*'3 Saalis'!CT99</f>
        <v>0</v>
      </c>
      <c r="CW101" s="438">
        <f>CW9*'3 Saalis'!CU99</f>
        <v>0</v>
      </c>
      <c r="CX101" s="439">
        <f>CX9*'3 Saalis'!CV99</f>
        <v>0</v>
      </c>
    </row>
    <row r="102" spans="2:102" x14ac:dyDescent="0.2">
      <c r="B102" s="57"/>
      <c r="C102" s="68" t="s">
        <v>89</v>
      </c>
      <c r="D102" s="450">
        <f t="shared" si="127"/>
        <v>0</v>
      </c>
      <c r="E102" s="1470"/>
      <c r="F102" s="1471"/>
      <c r="G102" s="1471"/>
      <c r="H102" s="1471"/>
      <c r="I102" s="1471"/>
      <c r="J102" s="1471"/>
      <c r="K102" s="1471"/>
      <c r="L102" s="1471"/>
      <c r="M102" s="1471"/>
      <c r="N102" s="1471"/>
      <c r="O102" s="1471"/>
      <c r="P102" s="1472"/>
      <c r="S102" s="255"/>
      <c r="T102" s="267" t="s">
        <v>89</v>
      </c>
      <c r="U102" s="450">
        <f t="shared" si="133"/>
        <v>0</v>
      </c>
      <c r="V102" s="533">
        <f>E102*'5 Kalan alkukäsittely satamassa'!$F$14</f>
        <v>0</v>
      </c>
      <c r="W102" s="516">
        <f>F102*'5 Kalan alkukäsittely satamassa'!$F$14</f>
        <v>0</v>
      </c>
      <c r="X102" s="516">
        <f>G102*'5 Kalan alkukäsittely satamassa'!$F$14</f>
        <v>0</v>
      </c>
      <c r="Y102" s="516">
        <f>H102*'5 Kalan alkukäsittely satamassa'!$F$14</f>
        <v>0</v>
      </c>
      <c r="Z102" s="516">
        <f>I102*'5 Kalan alkukäsittely satamassa'!$F$14</f>
        <v>0</v>
      </c>
      <c r="AA102" s="516">
        <f>J102*'5 Kalan alkukäsittely satamassa'!$F$14</f>
        <v>0</v>
      </c>
      <c r="AB102" s="516">
        <f>K102*'5 Kalan alkukäsittely satamassa'!$F$14</f>
        <v>0</v>
      </c>
      <c r="AC102" s="516">
        <f>L102*'5 Kalan alkukäsittely satamassa'!$F$14</f>
        <v>0</v>
      </c>
      <c r="AD102" s="516">
        <f>M102*'5 Kalan alkukäsittely satamassa'!$F$14</f>
        <v>0</v>
      </c>
      <c r="AE102" s="516">
        <f>N102*'5 Kalan alkukäsittely satamassa'!$F$14</f>
        <v>0</v>
      </c>
      <c r="AF102" s="516">
        <f>O102*'5 Kalan alkukäsittely satamassa'!$F$14</f>
        <v>0</v>
      </c>
      <c r="AG102" s="490">
        <f>P102*'5 Kalan alkukäsittely satamassa'!$F$14</f>
        <v>0</v>
      </c>
      <c r="AI102" s="57"/>
      <c r="AJ102" s="68" t="s">
        <v>89</v>
      </c>
      <c r="AK102" s="590">
        <f t="shared" si="132"/>
        <v>0</v>
      </c>
      <c r="AL102" s="1502">
        <v>12</v>
      </c>
      <c r="AM102" s="1502">
        <v>12</v>
      </c>
      <c r="AN102" s="1502">
        <v>12</v>
      </c>
      <c r="AO102" s="1502">
        <v>12</v>
      </c>
      <c r="AP102" s="1502">
        <v>12</v>
      </c>
      <c r="AQ102" s="1502">
        <v>12</v>
      </c>
      <c r="AR102" s="1502">
        <v>12</v>
      </c>
      <c r="AS102" s="1502">
        <v>12</v>
      </c>
      <c r="AT102" s="1502">
        <v>12</v>
      </c>
      <c r="AU102" s="1502">
        <v>12</v>
      </c>
      <c r="AV102" s="1502">
        <v>12</v>
      </c>
      <c r="AW102" s="1503">
        <v>12</v>
      </c>
      <c r="AY102" s="57"/>
      <c r="AZ102" s="59" t="s">
        <v>89</v>
      </c>
      <c r="BA102" s="501">
        <f t="shared" si="129"/>
        <v>0</v>
      </c>
      <c r="BB102" s="530">
        <f t="shared" si="131"/>
        <v>0</v>
      </c>
      <c r="BC102" s="524">
        <f t="shared" si="137"/>
        <v>0</v>
      </c>
      <c r="BD102" s="524">
        <f t="shared" si="137"/>
        <v>0</v>
      </c>
      <c r="BE102" s="524">
        <f t="shared" si="137"/>
        <v>0</v>
      </c>
      <c r="BF102" s="524">
        <f t="shared" si="137"/>
        <v>0</v>
      </c>
      <c r="BG102" s="524">
        <f t="shared" si="137"/>
        <v>0</v>
      </c>
      <c r="BH102" s="524">
        <f t="shared" si="137"/>
        <v>0</v>
      </c>
      <c r="BI102" s="524">
        <f t="shared" si="137"/>
        <v>0</v>
      </c>
      <c r="BJ102" s="524">
        <f t="shared" si="137"/>
        <v>0</v>
      </c>
      <c r="BK102" s="524">
        <f t="shared" si="137"/>
        <v>0</v>
      </c>
      <c r="BL102" s="524">
        <f t="shared" si="137"/>
        <v>0</v>
      </c>
      <c r="BM102" s="525">
        <f t="shared" si="137"/>
        <v>0</v>
      </c>
      <c r="CK102" s="57" t="s">
        <v>102</v>
      </c>
      <c r="CL102" s="510">
        <f t="shared" si="138"/>
        <v>0</v>
      </c>
      <c r="CM102" s="511">
        <f>CM10*'3 Saalis'!CK100</f>
        <v>0</v>
      </c>
      <c r="CN102" s="438">
        <f>CN10*'3 Saalis'!CL100</f>
        <v>0</v>
      </c>
      <c r="CO102" s="438">
        <f>CO10*'3 Saalis'!CM100</f>
        <v>0</v>
      </c>
      <c r="CP102" s="438">
        <f>CP10*'3 Saalis'!CN100</f>
        <v>0</v>
      </c>
      <c r="CQ102" s="438">
        <f>CQ10*'3 Saalis'!CO100</f>
        <v>0</v>
      </c>
      <c r="CR102" s="438">
        <f>CR10*'3 Saalis'!CP100</f>
        <v>0</v>
      </c>
      <c r="CS102" s="438">
        <f>CS10*'3 Saalis'!CQ100</f>
        <v>0</v>
      </c>
      <c r="CT102" s="438">
        <f>CT10*'3 Saalis'!CR100</f>
        <v>0</v>
      </c>
      <c r="CU102" s="438">
        <f>CU10*'3 Saalis'!CS100</f>
        <v>0</v>
      </c>
      <c r="CV102" s="438">
        <f>CV10*'3 Saalis'!CT100</f>
        <v>0</v>
      </c>
      <c r="CW102" s="438">
        <f>CW10*'3 Saalis'!CU100</f>
        <v>0</v>
      </c>
      <c r="CX102" s="439">
        <f>CX10*'3 Saalis'!CV100</f>
        <v>0</v>
      </c>
    </row>
    <row r="103" spans="2:102" ht="13.5" thickBot="1" x14ac:dyDescent="0.25">
      <c r="B103" s="40"/>
      <c r="C103" s="56" t="s">
        <v>91</v>
      </c>
      <c r="D103" s="451">
        <f>SUM(E103:P103)</f>
        <v>0</v>
      </c>
      <c r="E103" s="1476"/>
      <c r="F103" s="1477"/>
      <c r="G103" s="1477"/>
      <c r="H103" s="1477"/>
      <c r="I103" s="1477"/>
      <c r="J103" s="1477"/>
      <c r="K103" s="1477"/>
      <c r="L103" s="1477"/>
      <c r="M103" s="1477"/>
      <c r="N103" s="1477"/>
      <c r="O103" s="1477"/>
      <c r="P103" s="1478"/>
      <c r="S103" s="258"/>
      <c r="T103" s="263" t="s">
        <v>91</v>
      </c>
      <c r="U103" s="451">
        <f>SUM(V103:AG103)</f>
        <v>0</v>
      </c>
      <c r="V103" s="548">
        <f t="shared" ref="V103:AG104" si="139">E103</f>
        <v>0</v>
      </c>
      <c r="W103" s="549">
        <f t="shared" si="139"/>
        <v>0</v>
      </c>
      <c r="X103" s="549">
        <f t="shared" si="139"/>
        <v>0</v>
      </c>
      <c r="Y103" s="549">
        <f t="shared" si="139"/>
        <v>0</v>
      </c>
      <c r="Z103" s="549">
        <f t="shared" si="139"/>
        <v>0</v>
      </c>
      <c r="AA103" s="549">
        <f t="shared" si="139"/>
        <v>0</v>
      </c>
      <c r="AB103" s="549">
        <f t="shared" si="139"/>
        <v>0</v>
      </c>
      <c r="AC103" s="549">
        <f t="shared" si="139"/>
        <v>0</v>
      </c>
      <c r="AD103" s="549">
        <f t="shared" si="139"/>
        <v>0</v>
      </c>
      <c r="AE103" s="549">
        <f t="shared" si="139"/>
        <v>0</v>
      </c>
      <c r="AF103" s="549">
        <f t="shared" si="139"/>
        <v>0</v>
      </c>
      <c r="AG103" s="493">
        <f t="shared" si="139"/>
        <v>0</v>
      </c>
      <c r="AI103" s="40"/>
      <c r="AJ103" s="76" t="s">
        <v>91</v>
      </c>
      <c r="AK103" s="585">
        <f t="shared" si="132"/>
        <v>0</v>
      </c>
      <c r="AL103" s="1505">
        <v>30</v>
      </c>
      <c r="AM103" s="1505">
        <v>30</v>
      </c>
      <c r="AN103" s="1505">
        <v>30</v>
      </c>
      <c r="AO103" s="1505">
        <v>30</v>
      </c>
      <c r="AP103" s="1505">
        <v>30</v>
      </c>
      <c r="AQ103" s="1505">
        <v>30</v>
      </c>
      <c r="AR103" s="1505">
        <v>30</v>
      </c>
      <c r="AS103" s="1505">
        <v>30</v>
      </c>
      <c r="AT103" s="1505">
        <v>30</v>
      </c>
      <c r="AU103" s="1505">
        <v>30</v>
      </c>
      <c r="AV103" s="1505">
        <v>30</v>
      </c>
      <c r="AW103" s="1505">
        <v>30</v>
      </c>
      <c r="AY103" s="40"/>
      <c r="AZ103" s="56" t="s">
        <v>91</v>
      </c>
      <c r="BA103" s="498">
        <f>SUM(BB103:BM103)</f>
        <v>0</v>
      </c>
      <c r="BB103" s="515">
        <f t="shared" si="131"/>
        <v>0</v>
      </c>
      <c r="BC103" s="531">
        <f t="shared" si="137"/>
        <v>0</v>
      </c>
      <c r="BD103" s="531">
        <f t="shared" si="137"/>
        <v>0</v>
      </c>
      <c r="BE103" s="531">
        <f t="shared" si="137"/>
        <v>0</v>
      </c>
      <c r="BF103" s="531">
        <f t="shared" si="137"/>
        <v>0</v>
      </c>
      <c r="BG103" s="531">
        <f t="shared" si="137"/>
        <v>0</v>
      </c>
      <c r="BH103" s="531">
        <f t="shared" si="137"/>
        <v>0</v>
      </c>
      <c r="BI103" s="531">
        <f t="shared" si="137"/>
        <v>0</v>
      </c>
      <c r="BJ103" s="531">
        <f t="shared" si="137"/>
        <v>0</v>
      </c>
      <c r="BK103" s="531">
        <f t="shared" si="137"/>
        <v>0</v>
      </c>
      <c r="BL103" s="531">
        <f t="shared" si="137"/>
        <v>0</v>
      </c>
      <c r="BM103" s="532">
        <f t="shared" si="137"/>
        <v>0</v>
      </c>
      <c r="CK103" s="57" t="s">
        <v>103</v>
      </c>
      <c r="CL103" s="510">
        <f t="shared" si="138"/>
        <v>0</v>
      </c>
      <c r="CM103" s="511">
        <f>CM11*'3 Saalis'!CK101</f>
        <v>0</v>
      </c>
      <c r="CN103" s="438">
        <f>CN11*'3 Saalis'!CL101</f>
        <v>0</v>
      </c>
      <c r="CO103" s="438">
        <f>CO11*'3 Saalis'!CM101</f>
        <v>0</v>
      </c>
      <c r="CP103" s="438">
        <f>CP11*'3 Saalis'!CN101</f>
        <v>0</v>
      </c>
      <c r="CQ103" s="438">
        <f>CQ11*'3 Saalis'!CO101</f>
        <v>0</v>
      </c>
      <c r="CR103" s="438">
        <f>CR11*'3 Saalis'!CP101</f>
        <v>0</v>
      </c>
      <c r="CS103" s="438">
        <f>CS11*'3 Saalis'!CQ101</f>
        <v>0</v>
      </c>
      <c r="CT103" s="438">
        <f>CT11*'3 Saalis'!CR101</f>
        <v>0</v>
      </c>
      <c r="CU103" s="438">
        <f>CU11*'3 Saalis'!CS101</f>
        <v>0</v>
      </c>
      <c r="CV103" s="438">
        <f>CV11*'3 Saalis'!CT101</f>
        <v>0</v>
      </c>
      <c r="CW103" s="438">
        <f>CW11*'3 Saalis'!CU101</f>
        <v>0</v>
      </c>
      <c r="CX103" s="439">
        <f>CX11*'3 Saalis'!CV101</f>
        <v>0</v>
      </c>
    </row>
    <row r="104" spans="2:102" ht="13.5" thickBot="1" x14ac:dyDescent="0.25">
      <c r="B104" s="40" t="s">
        <v>80</v>
      </c>
      <c r="C104" s="1494"/>
      <c r="D104" s="451">
        <f>SUM(E104:P104)</f>
        <v>0</v>
      </c>
      <c r="E104" s="1479"/>
      <c r="F104" s="1480"/>
      <c r="G104" s="1480"/>
      <c r="H104" s="1480"/>
      <c r="I104" s="1480"/>
      <c r="J104" s="1480"/>
      <c r="K104" s="1480"/>
      <c r="L104" s="1480"/>
      <c r="M104" s="1480"/>
      <c r="N104" s="1480"/>
      <c r="O104" s="1480"/>
      <c r="P104" s="1481"/>
      <c r="S104" s="258" t="s">
        <v>80</v>
      </c>
      <c r="T104" s="1133">
        <f>C104</f>
        <v>0</v>
      </c>
      <c r="U104" s="451">
        <f>SUM(V104:AG104)</f>
        <v>0</v>
      </c>
      <c r="V104" s="516">
        <f t="shared" si="139"/>
        <v>0</v>
      </c>
      <c r="W104" s="516">
        <f t="shared" si="139"/>
        <v>0</v>
      </c>
      <c r="X104" s="516">
        <f t="shared" si="139"/>
        <v>0</v>
      </c>
      <c r="Y104" s="516">
        <f t="shared" si="139"/>
        <v>0</v>
      </c>
      <c r="Z104" s="516">
        <f t="shared" si="139"/>
        <v>0</v>
      </c>
      <c r="AA104" s="516">
        <f t="shared" si="139"/>
        <v>0</v>
      </c>
      <c r="AB104" s="516">
        <f t="shared" si="139"/>
        <v>0</v>
      </c>
      <c r="AC104" s="516">
        <f t="shared" si="139"/>
        <v>0</v>
      </c>
      <c r="AD104" s="516">
        <f t="shared" si="139"/>
        <v>0</v>
      </c>
      <c r="AE104" s="516">
        <f t="shared" si="139"/>
        <v>0</v>
      </c>
      <c r="AF104" s="516">
        <f t="shared" si="139"/>
        <v>0</v>
      </c>
      <c r="AG104" s="516">
        <f t="shared" si="139"/>
        <v>0</v>
      </c>
      <c r="AI104" s="8" t="s">
        <v>80</v>
      </c>
      <c r="AJ104" s="1133">
        <f>T104</f>
        <v>0</v>
      </c>
      <c r="AK104" s="578">
        <f>IF(D104=0,0,BA104/D104)</f>
        <v>0</v>
      </c>
      <c r="AL104" s="1516"/>
      <c r="AM104" s="1517"/>
      <c r="AN104" s="1517"/>
      <c r="AO104" s="1517"/>
      <c r="AP104" s="1517"/>
      <c r="AQ104" s="1517"/>
      <c r="AR104" s="1517"/>
      <c r="AS104" s="1517"/>
      <c r="AT104" s="1517"/>
      <c r="AU104" s="1517"/>
      <c r="AV104" s="1517"/>
      <c r="AW104" s="1518"/>
      <c r="AY104" s="40" t="s">
        <v>80</v>
      </c>
      <c r="AZ104" s="1136">
        <f>AJ104</f>
        <v>0</v>
      </c>
      <c r="BA104" s="498">
        <f>SUM(BB104:BM104)</f>
        <v>0</v>
      </c>
      <c r="BB104" s="548">
        <f t="shared" si="131"/>
        <v>0</v>
      </c>
      <c r="BC104" s="553">
        <f t="shared" si="137"/>
        <v>0</v>
      </c>
      <c r="BD104" s="553">
        <f t="shared" si="137"/>
        <v>0</v>
      </c>
      <c r="BE104" s="553">
        <f t="shared" si="137"/>
        <v>0</v>
      </c>
      <c r="BF104" s="553">
        <f t="shared" si="137"/>
        <v>0</v>
      </c>
      <c r="BG104" s="553">
        <f t="shared" si="137"/>
        <v>0</v>
      </c>
      <c r="BH104" s="553">
        <f t="shared" si="137"/>
        <v>0</v>
      </c>
      <c r="BI104" s="553">
        <f t="shared" si="137"/>
        <v>0</v>
      </c>
      <c r="BJ104" s="553">
        <f t="shared" si="137"/>
        <v>0</v>
      </c>
      <c r="BK104" s="553">
        <f t="shared" si="137"/>
        <v>0</v>
      </c>
      <c r="BL104" s="553">
        <f t="shared" si="137"/>
        <v>0</v>
      </c>
      <c r="BM104" s="554">
        <f t="shared" si="137"/>
        <v>0</v>
      </c>
      <c r="CK104" s="57" t="s">
        <v>104</v>
      </c>
      <c r="CL104" s="510">
        <f t="shared" si="138"/>
        <v>0</v>
      </c>
      <c r="CM104" s="511">
        <f>CM12*'3 Saalis'!CK102</f>
        <v>0</v>
      </c>
      <c r="CN104" s="438">
        <f>CN12*'3 Saalis'!CL102</f>
        <v>0</v>
      </c>
      <c r="CO104" s="438">
        <f>CO12*'3 Saalis'!CM102</f>
        <v>0</v>
      </c>
      <c r="CP104" s="438">
        <f>CP12*'3 Saalis'!CN102</f>
        <v>0</v>
      </c>
      <c r="CQ104" s="438">
        <f>CQ12*'3 Saalis'!CO102</f>
        <v>0</v>
      </c>
      <c r="CR104" s="438">
        <f>CR12*'3 Saalis'!CP102</f>
        <v>0</v>
      </c>
      <c r="CS104" s="438">
        <f>CS12*'3 Saalis'!CQ102</f>
        <v>0</v>
      </c>
      <c r="CT104" s="438">
        <f>CT12*'3 Saalis'!CR102</f>
        <v>0</v>
      </c>
      <c r="CU104" s="438">
        <f>CU12*'3 Saalis'!CS102</f>
        <v>0</v>
      </c>
      <c r="CV104" s="438">
        <f>CV12*'3 Saalis'!CT102</f>
        <v>0</v>
      </c>
      <c r="CW104" s="438">
        <f>CW12*'3 Saalis'!CU102</f>
        <v>0</v>
      </c>
      <c r="CX104" s="439">
        <f>CX12*'3 Saalis'!CV102</f>
        <v>0</v>
      </c>
    </row>
    <row r="105" spans="2:102" ht="13.5" thickBot="1" x14ac:dyDescent="0.25">
      <c r="B105" s="8" t="s">
        <v>72</v>
      </c>
      <c r="C105" s="18"/>
      <c r="D105" s="416">
        <f>D83-SUM(D84:D104)+D93+D103</f>
        <v>0</v>
      </c>
      <c r="E105" s="506">
        <f>E83-SUM(E84:E104)+E93+E103</f>
        <v>0</v>
      </c>
      <c r="F105" s="506">
        <f t="shared" ref="F105:O105" si="140">F83-SUM(F84:F104)+F93+F103</f>
        <v>0</v>
      </c>
      <c r="G105" s="506">
        <f t="shared" si="140"/>
        <v>0</v>
      </c>
      <c r="H105" s="506">
        <f t="shared" si="140"/>
        <v>0</v>
      </c>
      <c r="I105" s="506">
        <f>I83-SUM(I84:I104)+I93+I103</f>
        <v>0</v>
      </c>
      <c r="J105" s="506">
        <f t="shared" si="140"/>
        <v>0</v>
      </c>
      <c r="K105" s="506">
        <f t="shared" si="140"/>
        <v>0</v>
      </c>
      <c r="L105" s="506">
        <f t="shared" si="140"/>
        <v>0</v>
      </c>
      <c r="M105" s="506">
        <f t="shared" si="140"/>
        <v>0</v>
      </c>
      <c r="N105" s="506">
        <f t="shared" si="140"/>
        <v>0</v>
      </c>
      <c r="O105" s="506">
        <f t="shared" si="140"/>
        <v>0</v>
      </c>
      <c r="P105" s="497">
        <f>P83-SUM(P84:P104)+P93+P103</f>
        <v>0</v>
      </c>
      <c r="S105" s="258" t="s">
        <v>113</v>
      </c>
      <c r="T105" s="269"/>
      <c r="U105" s="416">
        <f>SUM(U84:U104)</f>
        <v>0</v>
      </c>
      <c r="V105" s="526">
        <f>SUM(V84:V104)</f>
        <v>0</v>
      </c>
      <c r="W105" s="526">
        <f t="shared" ref="W105:AF105" si="141">SUM(W84:W104)</f>
        <v>0</v>
      </c>
      <c r="X105" s="526">
        <f t="shared" si="141"/>
        <v>0</v>
      </c>
      <c r="Y105" s="526">
        <f t="shared" si="141"/>
        <v>0</v>
      </c>
      <c r="Z105" s="526">
        <f t="shared" si="141"/>
        <v>0</v>
      </c>
      <c r="AA105" s="526">
        <f>SUM(AA84:AA104)</f>
        <v>0</v>
      </c>
      <c r="AB105" s="526">
        <f t="shared" si="141"/>
        <v>0</v>
      </c>
      <c r="AC105" s="526">
        <f t="shared" si="141"/>
        <v>0</v>
      </c>
      <c r="AD105" s="526">
        <f t="shared" si="141"/>
        <v>0</v>
      </c>
      <c r="AE105" s="526">
        <f t="shared" si="141"/>
        <v>0</v>
      </c>
      <c r="AF105" s="526">
        <f t="shared" si="141"/>
        <v>0</v>
      </c>
      <c r="AG105" s="539">
        <f>AG83-SUM(AG84:AG104)</f>
        <v>0</v>
      </c>
      <c r="AI105" s="40" t="s">
        <v>99</v>
      </c>
      <c r="AJ105" s="18"/>
      <c r="AK105" s="578">
        <f>IF(BA83=0,0,BA105/BA83)</f>
        <v>0</v>
      </c>
      <c r="AL105" s="580">
        <f>IF(BB83=0,0,BB105/BB83)</f>
        <v>0</v>
      </c>
      <c r="AM105" s="581">
        <f>IF(BC83=0,0,BC105/BC83)</f>
        <v>0</v>
      </c>
      <c r="AN105" s="581">
        <f t="shared" ref="AN105:AW105" si="142">IF(BD83=0,0,BD105/BD83)</f>
        <v>0</v>
      </c>
      <c r="AO105" s="581">
        <f t="shared" si="142"/>
        <v>0</v>
      </c>
      <c r="AP105" s="581">
        <f t="shared" si="142"/>
        <v>0</v>
      </c>
      <c r="AQ105" s="581">
        <f t="shared" si="142"/>
        <v>0</v>
      </c>
      <c r="AR105" s="581">
        <f t="shared" si="142"/>
        <v>0</v>
      </c>
      <c r="AS105" s="581">
        <f t="shared" si="142"/>
        <v>0</v>
      </c>
      <c r="AT105" s="581">
        <f t="shared" si="142"/>
        <v>0</v>
      </c>
      <c r="AU105" s="581">
        <f t="shared" si="142"/>
        <v>0</v>
      </c>
      <c r="AV105" s="581">
        <f t="shared" si="142"/>
        <v>0</v>
      </c>
      <c r="AW105" s="582">
        <f t="shared" si="142"/>
        <v>0</v>
      </c>
      <c r="AY105" s="40" t="s">
        <v>98</v>
      </c>
      <c r="AZ105" s="14"/>
      <c r="BA105" s="417">
        <f>SUM(BA84:BA104)</f>
        <v>0</v>
      </c>
      <c r="BB105" s="597">
        <f>SUM(BB84:BB104)</f>
        <v>0</v>
      </c>
      <c r="BC105" s="549">
        <f>SUM(BC84:BC104)</f>
        <v>0</v>
      </c>
      <c r="BD105" s="597">
        <f t="shared" ref="BD105:BM105" si="143">SUM(BD84:BD104)</f>
        <v>0</v>
      </c>
      <c r="BE105" s="597">
        <f t="shared" si="143"/>
        <v>0</v>
      </c>
      <c r="BF105" s="597">
        <f t="shared" si="143"/>
        <v>0</v>
      </c>
      <c r="BG105" s="597">
        <f t="shared" si="143"/>
        <v>0</v>
      </c>
      <c r="BH105" s="597">
        <f t="shared" si="143"/>
        <v>0</v>
      </c>
      <c r="BI105" s="597">
        <f t="shared" si="143"/>
        <v>0</v>
      </c>
      <c r="BJ105" s="597">
        <f t="shared" si="143"/>
        <v>0</v>
      </c>
      <c r="BK105" s="597">
        <f t="shared" si="143"/>
        <v>0</v>
      </c>
      <c r="BL105" s="597">
        <f t="shared" si="143"/>
        <v>0</v>
      </c>
      <c r="BM105" s="597">
        <f t="shared" si="143"/>
        <v>0</v>
      </c>
      <c r="CK105" s="57" t="s">
        <v>105</v>
      </c>
      <c r="CL105" s="510">
        <f t="shared" si="138"/>
        <v>0</v>
      </c>
      <c r="CM105" s="511">
        <f>CM13*'3 Saalis'!CK103</f>
        <v>0</v>
      </c>
      <c r="CN105" s="438">
        <f>CN13*'3 Saalis'!CL103</f>
        <v>0</v>
      </c>
      <c r="CO105" s="438">
        <f>CO13*'3 Saalis'!CM103</f>
        <v>0</v>
      </c>
      <c r="CP105" s="438">
        <f>CP13*'3 Saalis'!CN103</f>
        <v>0</v>
      </c>
      <c r="CQ105" s="438">
        <f>CQ13*'3 Saalis'!CO103</f>
        <v>0</v>
      </c>
      <c r="CR105" s="438">
        <f>CR13*'3 Saalis'!CP103</f>
        <v>0</v>
      </c>
      <c r="CS105" s="438">
        <f>CS13*'3 Saalis'!CQ103</f>
        <v>0</v>
      </c>
      <c r="CT105" s="438">
        <f>CT13*'3 Saalis'!CR103</f>
        <v>0</v>
      </c>
      <c r="CU105" s="438">
        <f>CU13*'3 Saalis'!CS103</f>
        <v>0</v>
      </c>
      <c r="CV105" s="438">
        <f>CV13*'3 Saalis'!CT103</f>
        <v>0</v>
      </c>
      <c r="CW105" s="438">
        <f>CW13*'3 Saalis'!CU103</f>
        <v>0</v>
      </c>
      <c r="CX105" s="439">
        <f>CX13*'3 Saalis'!CV103</f>
        <v>0</v>
      </c>
    </row>
    <row r="106" spans="2:102" ht="13.5" thickBot="1" x14ac:dyDescent="0.25">
      <c r="E106" s="794" t="str">
        <f>IF(E105&lt;0,"Ylimyynti!!!","")</f>
        <v/>
      </c>
      <c r="F106" s="794" t="str">
        <f t="shared" ref="F106:P106" si="144">IF(F105&lt;0,"Ylimyynti!!!","")</f>
        <v/>
      </c>
      <c r="G106" s="794" t="str">
        <f t="shared" si="144"/>
        <v/>
      </c>
      <c r="H106" s="794" t="str">
        <f t="shared" si="144"/>
        <v/>
      </c>
      <c r="I106" s="794" t="str">
        <f t="shared" si="144"/>
        <v/>
      </c>
      <c r="J106" s="794" t="str">
        <f t="shared" si="144"/>
        <v/>
      </c>
      <c r="K106" s="794" t="str">
        <f t="shared" si="144"/>
        <v/>
      </c>
      <c r="L106" s="794" t="str">
        <f t="shared" si="144"/>
        <v/>
      </c>
      <c r="M106" s="794" t="str">
        <f t="shared" si="144"/>
        <v/>
      </c>
      <c r="N106" s="794" t="str">
        <f t="shared" si="144"/>
        <v/>
      </c>
      <c r="O106" s="794" t="str">
        <f t="shared" si="144"/>
        <v/>
      </c>
      <c r="P106" s="794" t="str">
        <f t="shared" si="144"/>
        <v/>
      </c>
      <c r="CK106" s="57" t="s">
        <v>106</v>
      </c>
      <c r="CL106" s="510">
        <f t="shared" si="138"/>
        <v>0</v>
      </c>
      <c r="CM106" s="511">
        <f>CM14*'3 Saalis'!CK104</f>
        <v>0</v>
      </c>
      <c r="CN106" s="438">
        <f>CN14*'3 Saalis'!CL104</f>
        <v>0</v>
      </c>
      <c r="CO106" s="438">
        <f>CO14*'3 Saalis'!CM104</f>
        <v>0</v>
      </c>
      <c r="CP106" s="438">
        <f>CP14*'3 Saalis'!CN104</f>
        <v>0</v>
      </c>
      <c r="CQ106" s="438">
        <f>CQ14*'3 Saalis'!CO104</f>
        <v>0</v>
      </c>
      <c r="CR106" s="438">
        <f>CR14*'3 Saalis'!CP104</f>
        <v>0</v>
      </c>
      <c r="CS106" s="438">
        <f>CS14*'3 Saalis'!CQ104</f>
        <v>0</v>
      </c>
      <c r="CT106" s="438">
        <f>CT14*'3 Saalis'!CR104</f>
        <v>0</v>
      </c>
      <c r="CU106" s="438">
        <f>CU14*'3 Saalis'!CS104</f>
        <v>0</v>
      </c>
      <c r="CV106" s="438">
        <f>CV14*'3 Saalis'!CT104</f>
        <v>0</v>
      </c>
      <c r="CW106" s="438">
        <f>CW14*'3 Saalis'!CU104</f>
        <v>0</v>
      </c>
      <c r="CX106" s="439">
        <f>CX14*'3 Saalis'!CV104</f>
        <v>0</v>
      </c>
    </row>
    <row r="107" spans="2:102" ht="13.5" thickBot="1" x14ac:dyDescent="0.25">
      <c r="B107" s="5" t="s">
        <v>90</v>
      </c>
      <c r="C107" s="36"/>
      <c r="D107" s="249" t="s">
        <v>40</v>
      </c>
      <c r="E107" s="245"/>
      <c r="F107" s="246"/>
      <c r="G107" s="246"/>
      <c r="H107" s="246"/>
      <c r="I107" s="246"/>
      <c r="J107" s="219" t="s">
        <v>42</v>
      </c>
      <c r="K107" s="246"/>
      <c r="L107" s="246"/>
      <c r="M107" s="246"/>
      <c r="N107" s="246"/>
      <c r="O107" s="246"/>
      <c r="P107" s="247"/>
      <c r="Q107" s="250"/>
      <c r="S107" s="251" t="s">
        <v>90</v>
      </c>
      <c r="T107" s="252"/>
      <c r="U107" s="249" t="s">
        <v>40</v>
      </c>
      <c r="V107" s="245"/>
      <c r="W107" s="246"/>
      <c r="X107" s="246"/>
      <c r="Y107" s="246"/>
      <c r="Z107" s="246"/>
      <c r="AA107" s="219" t="s">
        <v>42</v>
      </c>
      <c r="AB107" s="246"/>
      <c r="AC107" s="246"/>
      <c r="AD107" s="246"/>
      <c r="AE107" s="246"/>
      <c r="AF107" s="246"/>
      <c r="AG107" s="247"/>
      <c r="AI107" s="5" t="s">
        <v>90</v>
      </c>
      <c r="AJ107" s="36"/>
      <c r="AK107" s="51" t="s">
        <v>40</v>
      </c>
      <c r="AL107" s="47"/>
      <c r="AM107" s="48"/>
      <c r="AN107" s="48"/>
      <c r="AO107" s="48"/>
      <c r="AP107" s="48"/>
      <c r="AQ107" s="41" t="s">
        <v>42</v>
      </c>
      <c r="AR107" s="48"/>
      <c r="AS107" s="48"/>
      <c r="AT107" s="48"/>
      <c r="AU107" s="48"/>
      <c r="AV107" s="48"/>
      <c r="AW107" s="49"/>
      <c r="AY107" s="5" t="s">
        <v>90</v>
      </c>
      <c r="AZ107" s="36"/>
      <c r="BA107" s="249" t="s">
        <v>40</v>
      </c>
      <c r="BB107" s="245"/>
      <c r="BC107" s="246"/>
      <c r="BD107" s="246"/>
      <c r="BE107" s="246"/>
      <c r="BF107" s="246"/>
      <c r="BG107" s="219" t="s">
        <v>42</v>
      </c>
      <c r="BH107" s="246"/>
      <c r="BI107" s="246"/>
      <c r="BJ107" s="246"/>
      <c r="BK107" s="246"/>
      <c r="BL107" s="246"/>
      <c r="BM107" s="247"/>
      <c r="CK107" s="57" t="s">
        <v>37</v>
      </c>
      <c r="CL107" s="510">
        <f t="shared" si="138"/>
        <v>0</v>
      </c>
      <c r="CM107" s="511">
        <f>CM15*'3 Saalis'!CK105</f>
        <v>0</v>
      </c>
      <c r="CN107" s="438">
        <f>CN15*'3 Saalis'!CL105</f>
        <v>0</v>
      </c>
      <c r="CO107" s="438">
        <f>CO15*'3 Saalis'!CM105</f>
        <v>0</v>
      </c>
      <c r="CP107" s="438">
        <f>CP15*'3 Saalis'!CN105</f>
        <v>0</v>
      </c>
      <c r="CQ107" s="438">
        <f>CQ15*'3 Saalis'!CO105</f>
        <v>0</v>
      </c>
      <c r="CR107" s="438">
        <f>CR15*'3 Saalis'!CP105</f>
        <v>0</v>
      </c>
      <c r="CS107" s="438">
        <f>CS15*'3 Saalis'!CQ105</f>
        <v>0</v>
      </c>
      <c r="CT107" s="438">
        <f>CT15*'3 Saalis'!CR105</f>
        <v>0</v>
      </c>
      <c r="CU107" s="438">
        <f>CU15*'3 Saalis'!CS105</f>
        <v>0</v>
      </c>
      <c r="CV107" s="438">
        <f>CV15*'3 Saalis'!CT105</f>
        <v>0</v>
      </c>
      <c r="CW107" s="438">
        <f>CW15*'3 Saalis'!CU105</f>
        <v>0</v>
      </c>
      <c r="CX107" s="439">
        <f>CX15*'3 Saalis'!CV105</f>
        <v>0</v>
      </c>
    </row>
    <row r="108" spans="2:102" ht="13.5" thickBot="1" x14ac:dyDescent="0.25">
      <c r="B108" s="57"/>
      <c r="C108" s="59"/>
      <c r="D108" s="253" t="s">
        <v>41</v>
      </c>
      <c r="E108" s="254">
        <v>1</v>
      </c>
      <c r="F108" s="70">
        <v>2</v>
      </c>
      <c r="G108" s="70">
        <v>3</v>
      </c>
      <c r="H108" s="70">
        <v>4</v>
      </c>
      <c r="I108" s="70">
        <v>5</v>
      </c>
      <c r="J108" s="70">
        <v>6</v>
      </c>
      <c r="K108" s="70">
        <v>7</v>
      </c>
      <c r="L108" s="70">
        <v>8</v>
      </c>
      <c r="M108" s="70">
        <v>9</v>
      </c>
      <c r="N108" s="70">
        <v>10</v>
      </c>
      <c r="O108" s="70">
        <v>11</v>
      </c>
      <c r="P108" s="71">
        <v>12</v>
      </c>
      <c r="Q108" s="87"/>
      <c r="S108" s="255"/>
      <c r="T108" s="256"/>
      <c r="U108" s="253" t="s">
        <v>41</v>
      </c>
      <c r="V108" s="254">
        <v>1</v>
      </c>
      <c r="W108" s="70">
        <v>2</v>
      </c>
      <c r="X108" s="70">
        <v>3</v>
      </c>
      <c r="Y108" s="70">
        <v>4</v>
      </c>
      <c r="Z108" s="70">
        <v>5</v>
      </c>
      <c r="AA108" s="70">
        <v>6</v>
      </c>
      <c r="AB108" s="70">
        <v>7</v>
      </c>
      <c r="AC108" s="70">
        <v>8</v>
      </c>
      <c r="AD108" s="70">
        <v>9</v>
      </c>
      <c r="AE108" s="70">
        <v>10</v>
      </c>
      <c r="AF108" s="70">
        <v>11</v>
      </c>
      <c r="AG108" s="71">
        <v>12</v>
      </c>
      <c r="AI108" s="57"/>
      <c r="AJ108" s="59"/>
      <c r="AK108" s="69" t="s">
        <v>41</v>
      </c>
      <c r="AL108" s="72">
        <v>1</v>
      </c>
      <c r="AM108" s="70">
        <v>2</v>
      </c>
      <c r="AN108" s="70">
        <v>3</v>
      </c>
      <c r="AO108" s="70">
        <v>4</v>
      </c>
      <c r="AP108" s="70">
        <v>5</v>
      </c>
      <c r="AQ108" s="70">
        <v>6</v>
      </c>
      <c r="AR108" s="70">
        <v>7</v>
      </c>
      <c r="AS108" s="70">
        <v>8</v>
      </c>
      <c r="AT108" s="70">
        <v>9</v>
      </c>
      <c r="AU108" s="70">
        <v>10</v>
      </c>
      <c r="AV108" s="70">
        <v>11</v>
      </c>
      <c r="AW108" s="71">
        <v>12</v>
      </c>
      <c r="AY108" s="57"/>
      <c r="AZ108" s="59"/>
      <c r="BA108" s="253" t="s">
        <v>41</v>
      </c>
      <c r="BB108" s="254">
        <v>1</v>
      </c>
      <c r="BC108" s="70">
        <v>2</v>
      </c>
      <c r="BD108" s="70">
        <v>3</v>
      </c>
      <c r="BE108" s="70">
        <v>4</v>
      </c>
      <c r="BF108" s="70">
        <v>5</v>
      </c>
      <c r="BG108" s="70">
        <v>6</v>
      </c>
      <c r="BH108" s="70">
        <v>7</v>
      </c>
      <c r="BI108" s="70">
        <v>8</v>
      </c>
      <c r="BJ108" s="70">
        <v>9</v>
      </c>
      <c r="BK108" s="70">
        <v>10</v>
      </c>
      <c r="BL108" s="70">
        <v>11</v>
      </c>
      <c r="BM108" s="71">
        <v>12</v>
      </c>
      <c r="CK108" s="57" t="s">
        <v>36</v>
      </c>
      <c r="CL108" s="510">
        <f t="shared" si="138"/>
        <v>0</v>
      </c>
      <c r="CM108" s="511">
        <f>CM16*'3 Saalis'!CK106</f>
        <v>0</v>
      </c>
      <c r="CN108" s="438">
        <f>CN16*'3 Saalis'!CL106</f>
        <v>0</v>
      </c>
      <c r="CO108" s="438">
        <f>CO16*'3 Saalis'!CM106</f>
        <v>0</v>
      </c>
      <c r="CP108" s="438">
        <f>CP16*'3 Saalis'!CN106</f>
        <v>0</v>
      </c>
      <c r="CQ108" s="438">
        <f>CQ16*'3 Saalis'!CO106</f>
        <v>0</v>
      </c>
      <c r="CR108" s="438">
        <f>CR16*'3 Saalis'!CP106</f>
        <v>0</v>
      </c>
      <c r="CS108" s="438">
        <f>CS16*'3 Saalis'!CQ106</f>
        <v>0</v>
      </c>
      <c r="CT108" s="438">
        <f>CT16*'3 Saalis'!CR106</f>
        <v>0</v>
      </c>
      <c r="CU108" s="438">
        <f>CU16*'3 Saalis'!CS106</f>
        <v>0</v>
      </c>
      <c r="CV108" s="438">
        <f>CV16*'3 Saalis'!CT106</f>
        <v>0</v>
      </c>
      <c r="CW108" s="438">
        <f>CW16*'3 Saalis'!CU106</f>
        <v>0</v>
      </c>
      <c r="CX108" s="439">
        <f>CX16*'3 Saalis'!CV106</f>
        <v>0</v>
      </c>
    </row>
    <row r="109" spans="2:102" ht="13.5" thickBot="1" x14ac:dyDescent="0.25">
      <c r="B109" s="8" t="s">
        <v>73</v>
      </c>
      <c r="C109" s="58"/>
      <c r="D109" s="423">
        <f>'3 Saalis'!D14</f>
        <v>0</v>
      </c>
      <c r="E109" s="503">
        <f>'3 Saalis'!E14</f>
        <v>0</v>
      </c>
      <c r="F109" s="453">
        <f>'3 Saalis'!F14</f>
        <v>0</v>
      </c>
      <c r="G109" s="453">
        <f>'3 Saalis'!G14</f>
        <v>0</v>
      </c>
      <c r="H109" s="453">
        <f>'3 Saalis'!H14</f>
        <v>0</v>
      </c>
      <c r="I109" s="453">
        <f>'3 Saalis'!I14</f>
        <v>0</v>
      </c>
      <c r="J109" s="453">
        <f>'3 Saalis'!J14</f>
        <v>0</v>
      </c>
      <c r="K109" s="453">
        <f>'3 Saalis'!K14</f>
        <v>0</v>
      </c>
      <c r="L109" s="453">
        <f>'3 Saalis'!L14</f>
        <v>0</v>
      </c>
      <c r="M109" s="453">
        <f>'3 Saalis'!M14</f>
        <v>0</v>
      </c>
      <c r="N109" s="453">
        <f>'3 Saalis'!N14</f>
        <v>0</v>
      </c>
      <c r="O109" s="453">
        <f>'3 Saalis'!O14</f>
        <v>0</v>
      </c>
      <c r="P109" s="454">
        <f>'3 Saalis'!P14</f>
        <v>0</v>
      </c>
      <c r="Q109" s="257"/>
      <c r="S109" s="260" t="s">
        <v>73</v>
      </c>
      <c r="T109" s="261"/>
      <c r="U109" s="423">
        <f t="shared" ref="U109:AG109" si="145">D109</f>
        <v>0</v>
      </c>
      <c r="V109" s="461">
        <f t="shared" si="145"/>
        <v>0</v>
      </c>
      <c r="W109" s="453">
        <f t="shared" si="145"/>
        <v>0</v>
      </c>
      <c r="X109" s="453">
        <f t="shared" si="145"/>
        <v>0</v>
      </c>
      <c r="Y109" s="453">
        <f t="shared" si="145"/>
        <v>0</v>
      </c>
      <c r="Z109" s="453">
        <f t="shared" si="145"/>
        <v>0</v>
      </c>
      <c r="AA109" s="453">
        <f t="shared" si="145"/>
        <v>0</v>
      </c>
      <c r="AB109" s="453">
        <f t="shared" si="145"/>
        <v>0</v>
      </c>
      <c r="AC109" s="453">
        <f t="shared" si="145"/>
        <v>0</v>
      </c>
      <c r="AD109" s="453">
        <f t="shared" si="145"/>
        <v>0</v>
      </c>
      <c r="AE109" s="453">
        <f t="shared" si="145"/>
        <v>0</v>
      </c>
      <c r="AF109" s="453">
        <f t="shared" si="145"/>
        <v>0</v>
      </c>
      <c r="AG109" s="454">
        <f t="shared" si="145"/>
        <v>0</v>
      </c>
      <c r="AI109" s="8" t="s">
        <v>73</v>
      </c>
      <c r="AJ109" s="58"/>
      <c r="AK109" s="424">
        <f>D109</f>
        <v>0</v>
      </c>
      <c r="AL109" s="589">
        <f>E109</f>
        <v>0</v>
      </c>
      <c r="AM109" s="589">
        <f>F109</f>
        <v>0</v>
      </c>
      <c r="AN109" s="589">
        <f t="shared" ref="AN109:AW109" si="146">G109</f>
        <v>0</v>
      </c>
      <c r="AO109" s="589">
        <f t="shared" si="146"/>
        <v>0</v>
      </c>
      <c r="AP109" s="589">
        <f t="shared" si="146"/>
        <v>0</v>
      </c>
      <c r="AQ109" s="589">
        <f t="shared" si="146"/>
        <v>0</v>
      </c>
      <c r="AR109" s="589">
        <f t="shared" si="146"/>
        <v>0</v>
      </c>
      <c r="AS109" s="589">
        <f t="shared" si="146"/>
        <v>0</v>
      </c>
      <c r="AT109" s="589">
        <f t="shared" si="146"/>
        <v>0</v>
      </c>
      <c r="AU109" s="589">
        <f t="shared" si="146"/>
        <v>0</v>
      </c>
      <c r="AV109" s="589">
        <f t="shared" si="146"/>
        <v>0</v>
      </c>
      <c r="AW109" s="1135">
        <f t="shared" si="146"/>
        <v>0</v>
      </c>
      <c r="AY109" s="8" t="s">
        <v>73</v>
      </c>
      <c r="AZ109" s="58"/>
      <c r="BA109" s="423">
        <f t="shared" ref="BA109:BM109" si="147">AK109</f>
        <v>0</v>
      </c>
      <c r="BB109" s="528">
        <f t="shared" si="147"/>
        <v>0</v>
      </c>
      <c r="BC109" s="488">
        <f t="shared" si="147"/>
        <v>0</v>
      </c>
      <c r="BD109" s="488">
        <f t="shared" si="147"/>
        <v>0</v>
      </c>
      <c r="BE109" s="488">
        <f t="shared" si="147"/>
        <v>0</v>
      </c>
      <c r="BF109" s="488">
        <f t="shared" si="147"/>
        <v>0</v>
      </c>
      <c r="BG109" s="488">
        <f t="shared" si="147"/>
        <v>0</v>
      </c>
      <c r="BH109" s="488">
        <f t="shared" si="147"/>
        <v>0</v>
      </c>
      <c r="BI109" s="488">
        <f t="shared" si="147"/>
        <v>0</v>
      </c>
      <c r="BJ109" s="488">
        <f t="shared" si="147"/>
        <v>0</v>
      </c>
      <c r="BK109" s="488">
        <f t="shared" si="147"/>
        <v>0</v>
      </c>
      <c r="BL109" s="488">
        <f t="shared" si="147"/>
        <v>0</v>
      </c>
      <c r="BM109" s="489">
        <f t="shared" si="147"/>
        <v>0</v>
      </c>
      <c r="CK109" s="57" t="s">
        <v>94</v>
      </c>
      <c r="CL109" s="510">
        <f t="shared" si="138"/>
        <v>0</v>
      </c>
      <c r="CM109" s="511">
        <f>CM17*'3 Saalis'!CK107</f>
        <v>0</v>
      </c>
      <c r="CN109" s="438">
        <f>CN17*'3 Saalis'!CL107</f>
        <v>0</v>
      </c>
      <c r="CO109" s="438">
        <f>CO17*'3 Saalis'!CM107</f>
        <v>0</v>
      </c>
      <c r="CP109" s="438">
        <f>CP17*'3 Saalis'!CN107</f>
        <v>0</v>
      </c>
      <c r="CQ109" s="438">
        <f>CQ17*'3 Saalis'!CO107</f>
        <v>0</v>
      </c>
      <c r="CR109" s="438">
        <f>CR17*'3 Saalis'!CP107</f>
        <v>0</v>
      </c>
      <c r="CS109" s="438">
        <f>CS17*'3 Saalis'!CQ107</f>
        <v>0</v>
      </c>
      <c r="CT109" s="438">
        <f>CT17*'3 Saalis'!CR107</f>
        <v>0</v>
      </c>
      <c r="CU109" s="438">
        <f>CU17*'3 Saalis'!CS107</f>
        <v>0</v>
      </c>
      <c r="CV109" s="438">
        <f>CV17*'3 Saalis'!CT107</f>
        <v>0</v>
      </c>
      <c r="CW109" s="438">
        <f>CW17*'3 Saalis'!CU107</f>
        <v>0</v>
      </c>
      <c r="CX109" s="439">
        <f>CX17*'3 Saalis'!CV107</f>
        <v>0</v>
      </c>
    </row>
    <row r="110" spans="2:102" ht="13.5" thickBot="1" x14ac:dyDescent="0.25">
      <c r="B110" s="57" t="s">
        <v>64</v>
      </c>
      <c r="C110" s="74" t="s">
        <v>82</v>
      </c>
      <c r="D110" s="452">
        <f t="shared" ref="D110:D116" si="148">SUM(E110:P110)</f>
        <v>0</v>
      </c>
      <c r="E110" s="1487"/>
      <c r="F110" s="1488"/>
      <c r="G110" s="1488"/>
      <c r="H110" s="1488"/>
      <c r="I110" s="1488"/>
      <c r="J110" s="1488"/>
      <c r="K110" s="1488"/>
      <c r="L110" s="1488"/>
      <c r="M110" s="1488"/>
      <c r="N110" s="1488"/>
      <c r="O110" s="1488"/>
      <c r="P110" s="1489"/>
      <c r="S110" s="255" t="s">
        <v>64</v>
      </c>
      <c r="T110" s="266" t="s">
        <v>82</v>
      </c>
      <c r="U110" s="452">
        <f t="shared" ref="U110:U116" si="149">SUM(V110:AG110)</f>
        <v>0</v>
      </c>
      <c r="V110" s="519">
        <f t="shared" ref="V110:AG110" si="150">E110</f>
        <v>0</v>
      </c>
      <c r="W110" s="499">
        <f t="shared" si="150"/>
        <v>0</v>
      </c>
      <c r="X110" s="499">
        <f t="shared" si="150"/>
        <v>0</v>
      </c>
      <c r="Y110" s="499">
        <f t="shared" si="150"/>
        <v>0</v>
      </c>
      <c r="Z110" s="499">
        <f t="shared" si="150"/>
        <v>0</v>
      </c>
      <c r="AA110" s="499">
        <f t="shared" si="150"/>
        <v>0</v>
      </c>
      <c r="AB110" s="499">
        <f t="shared" si="150"/>
        <v>0</v>
      </c>
      <c r="AC110" s="499">
        <f t="shared" si="150"/>
        <v>0</v>
      </c>
      <c r="AD110" s="499">
        <f t="shared" si="150"/>
        <v>0</v>
      </c>
      <c r="AE110" s="499">
        <f t="shared" si="150"/>
        <v>0</v>
      </c>
      <c r="AF110" s="499">
        <f t="shared" si="150"/>
        <v>0</v>
      </c>
      <c r="AG110" s="529">
        <f t="shared" si="150"/>
        <v>0</v>
      </c>
      <c r="AI110" s="57" t="s">
        <v>64</v>
      </c>
      <c r="AJ110" s="74" t="s">
        <v>82</v>
      </c>
      <c r="AK110" s="576">
        <f t="shared" ref="AK110:AK116" si="151">IF(D110=0,0,BA110/D110)</f>
        <v>0</v>
      </c>
      <c r="AL110" s="1496">
        <v>1.48</v>
      </c>
      <c r="AM110" s="1511">
        <v>1.5</v>
      </c>
      <c r="AN110" s="1511">
        <v>1.59</v>
      </c>
      <c r="AO110" s="1511">
        <v>1.42</v>
      </c>
      <c r="AP110" s="1511">
        <v>1.22</v>
      </c>
      <c r="AQ110" s="1511">
        <v>1.24</v>
      </c>
      <c r="AR110" s="1511">
        <v>1.4</v>
      </c>
      <c r="AS110" s="1511">
        <v>1.45</v>
      </c>
      <c r="AT110" s="1511">
        <v>1.5</v>
      </c>
      <c r="AU110" s="1511">
        <v>1.47</v>
      </c>
      <c r="AV110" s="1511">
        <v>1.43</v>
      </c>
      <c r="AW110" s="1498">
        <v>1.44</v>
      </c>
      <c r="AY110" s="57" t="s">
        <v>64</v>
      </c>
      <c r="AZ110" s="74" t="s">
        <v>82</v>
      </c>
      <c r="BA110" s="544">
        <f t="shared" ref="BA110:BA116" si="152">SUM(BB110:BM110)</f>
        <v>0</v>
      </c>
      <c r="BB110" s="519">
        <f t="shared" ref="BB110:BB116" si="153">V110*AL110</f>
        <v>0</v>
      </c>
      <c r="BC110" s="500">
        <f t="shared" ref="BC110:BM116" si="154">W110*AM110</f>
        <v>0</v>
      </c>
      <c r="BD110" s="500">
        <f t="shared" si="154"/>
        <v>0</v>
      </c>
      <c r="BE110" s="500">
        <f t="shared" si="154"/>
        <v>0</v>
      </c>
      <c r="BF110" s="500">
        <f t="shared" si="154"/>
        <v>0</v>
      </c>
      <c r="BG110" s="500">
        <f t="shared" si="154"/>
        <v>0</v>
      </c>
      <c r="BH110" s="500">
        <f t="shared" si="154"/>
        <v>0</v>
      </c>
      <c r="BI110" s="500">
        <f t="shared" si="154"/>
        <v>0</v>
      </c>
      <c r="BJ110" s="500">
        <f t="shared" si="154"/>
        <v>0</v>
      </c>
      <c r="BK110" s="500">
        <f t="shared" si="154"/>
        <v>0</v>
      </c>
      <c r="BL110" s="500">
        <f t="shared" si="154"/>
        <v>0</v>
      </c>
      <c r="BM110" s="529">
        <f t="shared" si="154"/>
        <v>0</v>
      </c>
      <c r="CK110" s="40" t="s">
        <v>93</v>
      </c>
      <c r="CL110" s="593">
        <f t="shared" si="138"/>
        <v>0</v>
      </c>
      <c r="CM110" s="513">
        <f>CM18*'3 Saalis'!CK108</f>
        <v>0</v>
      </c>
      <c r="CN110" s="485">
        <f>CN18*'3 Saalis'!CL108</f>
        <v>0</v>
      </c>
      <c r="CO110" s="485">
        <f>CO18*'3 Saalis'!CM108</f>
        <v>0</v>
      </c>
      <c r="CP110" s="485">
        <f>CP18*'3 Saalis'!CN108</f>
        <v>0</v>
      </c>
      <c r="CQ110" s="485">
        <f>CQ18*'3 Saalis'!CO108</f>
        <v>0</v>
      </c>
      <c r="CR110" s="485">
        <f>CR18*'3 Saalis'!CP108</f>
        <v>0</v>
      </c>
      <c r="CS110" s="485">
        <f>CS18*'3 Saalis'!CQ108</f>
        <v>0</v>
      </c>
      <c r="CT110" s="485">
        <f>CT18*'3 Saalis'!CR108</f>
        <v>0</v>
      </c>
      <c r="CU110" s="485">
        <f>CU18*'3 Saalis'!CS108</f>
        <v>0</v>
      </c>
      <c r="CV110" s="485">
        <f>CV18*'3 Saalis'!CT108</f>
        <v>0</v>
      </c>
      <c r="CW110" s="485">
        <f>CW18*'3 Saalis'!CU108</f>
        <v>0</v>
      </c>
      <c r="CX110" s="486">
        <f>CX18*'3 Saalis'!CV108</f>
        <v>0</v>
      </c>
    </row>
    <row r="111" spans="2:102" ht="13.5" thickBot="1" x14ac:dyDescent="0.25">
      <c r="B111" s="57"/>
      <c r="C111" s="59" t="s">
        <v>77</v>
      </c>
      <c r="D111" s="501">
        <f t="shared" si="148"/>
        <v>0</v>
      </c>
      <c r="E111" s="1486"/>
      <c r="F111" s="1471"/>
      <c r="G111" s="1471"/>
      <c r="H111" s="1471"/>
      <c r="I111" s="1471"/>
      <c r="J111" s="1471"/>
      <c r="K111" s="1471"/>
      <c r="L111" s="1471"/>
      <c r="M111" s="1471"/>
      <c r="N111" s="1471"/>
      <c r="O111" s="1471"/>
      <c r="P111" s="1472"/>
      <c r="S111" s="255"/>
      <c r="T111" s="256" t="s">
        <v>83</v>
      </c>
      <c r="U111" s="501">
        <f t="shared" si="149"/>
        <v>0</v>
      </c>
      <c r="V111" s="530">
        <f>E111*'5 Kalan alkukäsittely satamassa'!$D$15</f>
        <v>0</v>
      </c>
      <c r="W111" s="524">
        <f>F111*'5 Kalan alkukäsittely satamassa'!$D$15</f>
        <v>0</v>
      </c>
      <c r="X111" s="524">
        <f>G111*'5 Kalan alkukäsittely satamassa'!$D$15</f>
        <v>0</v>
      </c>
      <c r="Y111" s="524">
        <f>H111*'5 Kalan alkukäsittely satamassa'!$D$15</f>
        <v>0</v>
      </c>
      <c r="Z111" s="524">
        <f>I111*'5 Kalan alkukäsittely satamassa'!$D$15</f>
        <v>0</v>
      </c>
      <c r="AA111" s="524">
        <f>J111*'5 Kalan alkukäsittely satamassa'!$D$15</f>
        <v>0</v>
      </c>
      <c r="AB111" s="524">
        <f>K111*'5 Kalan alkukäsittely satamassa'!$D$15</f>
        <v>0</v>
      </c>
      <c r="AC111" s="524">
        <f>L111*'5 Kalan alkukäsittely satamassa'!$D$15</f>
        <v>0</v>
      </c>
      <c r="AD111" s="524">
        <f>M111*'5 Kalan alkukäsittely satamassa'!$D$15</f>
        <v>0</v>
      </c>
      <c r="AE111" s="524">
        <f>N111*'5 Kalan alkukäsittely satamassa'!$D$15</f>
        <v>0</v>
      </c>
      <c r="AF111" s="524">
        <f>O111*'5 Kalan alkukäsittely satamassa'!$D$15</f>
        <v>0</v>
      </c>
      <c r="AG111" s="525">
        <f>P111*'5 Kalan alkukäsittely satamassa'!$D$15</f>
        <v>0</v>
      </c>
      <c r="AI111" s="57"/>
      <c r="AJ111" s="59" t="s">
        <v>83</v>
      </c>
      <c r="AK111" s="576">
        <f t="shared" si="151"/>
        <v>0</v>
      </c>
      <c r="AL111" s="1501">
        <v>2.5</v>
      </c>
      <c r="AM111" s="1502">
        <v>2.5</v>
      </c>
      <c r="AN111" s="1502">
        <v>2.5</v>
      </c>
      <c r="AO111" s="1502">
        <v>2.5</v>
      </c>
      <c r="AP111" s="1502">
        <v>2.5</v>
      </c>
      <c r="AQ111" s="1502">
        <v>2.5</v>
      </c>
      <c r="AR111" s="1502">
        <v>2.5</v>
      </c>
      <c r="AS111" s="1502">
        <v>2.5</v>
      </c>
      <c r="AT111" s="1502">
        <v>2.5</v>
      </c>
      <c r="AU111" s="1502">
        <v>2.5</v>
      </c>
      <c r="AV111" s="1502">
        <v>2.5</v>
      </c>
      <c r="AW111" s="1503">
        <v>2.5</v>
      </c>
      <c r="AY111" s="57"/>
      <c r="AZ111" s="59" t="s">
        <v>83</v>
      </c>
      <c r="BA111" s="501">
        <f t="shared" si="152"/>
        <v>0</v>
      </c>
      <c r="BB111" s="530">
        <f t="shared" si="153"/>
        <v>0</v>
      </c>
      <c r="BC111" s="524">
        <f t="shared" si="154"/>
        <v>0</v>
      </c>
      <c r="BD111" s="524">
        <f t="shared" si="154"/>
        <v>0</v>
      </c>
      <c r="BE111" s="524">
        <f t="shared" si="154"/>
        <v>0</v>
      </c>
      <c r="BF111" s="524">
        <f t="shared" si="154"/>
        <v>0</v>
      </c>
      <c r="BG111" s="524">
        <f t="shared" si="154"/>
        <v>0</v>
      </c>
      <c r="BH111" s="524">
        <f t="shared" si="154"/>
        <v>0</v>
      </c>
      <c r="BI111" s="524">
        <f t="shared" si="154"/>
        <v>0</v>
      </c>
      <c r="BJ111" s="524">
        <f t="shared" si="154"/>
        <v>0</v>
      </c>
      <c r="BK111" s="524">
        <f t="shared" si="154"/>
        <v>0</v>
      </c>
      <c r="BL111" s="524">
        <f t="shared" si="154"/>
        <v>0</v>
      </c>
      <c r="BM111" s="525">
        <f t="shared" si="154"/>
        <v>0</v>
      </c>
      <c r="CK111" s="40" t="s">
        <v>107</v>
      </c>
      <c r="CL111" s="423">
        <f t="shared" ref="CL111:CQ111" si="155">SUM(CL99:CL110)</f>
        <v>0</v>
      </c>
      <c r="CM111" s="503">
        <f t="shared" si="155"/>
        <v>0</v>
      </c>
      <c r="CN111" s="453">
        <f t="shared" si="155"/>
        <v>0</v>
      </c>
      <c r="CO111" s="453">
        <f t="shared" si="155"/>
        <v>0</v>
      </c>
      <c r="CP111" s="453">
        <f t="shared" si="155"/>
        <v>0</v>
      </c>
      <c r="CQ111" s="453">
        <f t="shared" si="155"/>
        <v>0</v>
      </c>
      <c r="CR111" s="453">
        <f t="shared" ref="CR111:CX111" si="156">SUM(CR99:CR110)</f>
        <v>0</v>
      </c>
      <c r="CS111" s="453">
        <f t="shared" si="156"/>
        <v>0</v>
      </c>
      <c r="CT111" s="453">
        <f t="shared" si="156"/>
        <v>0</v>
      </c>
      <c r="CU111" s="453">
        <f t="shared" si="156"/>
        <v>0</v>
      </c>
      <c r="CV111" s="453">
        <f t="shared" si="156"/>
        <v>0</v>
      </c>
      <c r="CW111" s="453">
        <f t="shared" si="156"/>
        <v>0</v>
      </c>
      <c r="CX111" s="454">
        <f t="shared" si="156"/>
        <v>0</v>
      </c>
    </row>
    <row r="112" spans="2:102" ht="13.5" thickBot="1" x14ac:dyDescent="0.25">
      <c r="B112" s="40"/>
      <c r="C112" s="56" t="s">
        <v>78</v>
      </c>
      <c r="D112" s="498">
        <f t="shared" si="148"/>
        <v>0</v>
      </c>
      <c r="E112" s="1483"/>
      <c r="F112" s="1477"/>
      <c r="G112" s="1477"/>
      <c r="H112" s="1477"/>
      <c r="I112" s="1477"/>
      <c r="J112" s="1477"/>
      <c r="K112" s="1477"/>
      <c r="L112" s="1477"/>
      <c r="M112" s="1477"/>
      <c r="N112" s="1477"/>
      <c r="O112" s="1477"/>
      <c r="P112" s="1478"/>
      <c r="S112" s="258"/>
      <c r="T112" s="259" t="s">
        <v>84</v>
      </c>
      <c r="U112" s="498">
        <f t="shared" si="149"/>
        <v>0</v>
      </c>
      <c r="V112" s="515">
        <f>E112*'5 Kalan alkukäsittely satamassa'!$F$15</f>
        <v>0</v>
      </c>
      <c r="W112" s="531">
        <f>F112*'5 Kalan alkukäsittely satamassa'!$F$15</f>
        <v>0</v>
      </c>
      <c r="X112" s="531">
        <f>G112*'5 Kalan alkukäsittely satamassa'!$F$15</f>
        <v>0</v>
      </c>
      <c r="Y112" s="531">
        <f>H112*'5 Kalan alkukäsittely satamassa'!$F$15</f>
        <v>0</v>
      </c>
      <c r="Z112" s="531">
        <f>I112*'5 Kalan alkukäsittely satamassa'!$F$15</f>
        <v>0</v>
      </c>
      <c r="AA112" s="531">
        <f>J112*'5 Kalan alkukäsittely satamassa'!$F$15</f>
        <v>0</v>
      </c>
      <c r="AB112" s="531">
        <f>K112*'5 Kalan alkukäsittely satamassa'!$F$15</f>
        <v>0</v>
      </c>
      <c r="AC112" s="531">
        <f>L112*'5 Kalan alkukäsittely satamassa'!$F$15</f>
        <v>0</v>
      </c>
      <c r="AD112" s="531">
        <f>M112*'5 Kalan alkukäsittely satamassa'!$F$15</f>
        <v>0</v>
      </c>
      <c r="AE112" s="531">
        <f>N112*'5 Kalan alkukäsittely satamassa'!$F$15</f>
        <v>0</v>
      </c>
      <c r="AF112" s="531">
        <f>O112*'5 Kalan alkukäsittely satamassa'!$F$15</f>
        <v>0</v>
      </c>
      <c r="AG112" s="532">
        <f>P112*'5 Kalan alkukäsittely satamassa'!$F$15</f>
        <v>0</v>
      </c>
      <c r="AI112" s="57"/>
      <c r="AJ112" s="59" t="s">
        <v>84</v>
      </c>
      <c r="AK112" s="577">
        <f t="shared" si="151"/>
        <v>0</v>
      </c>
      <c r="AL112" s="1508">
        <v>4.24</v>
      </c>
      <c r="AM112" s="1509">
        <v>4.24</v>
      </c>
      <c r="AN112" s="1509">
        <v>4.24</v>
      </c>
      <c r="AO112" s="1509">
        <v>4.24</v>
      </c>
      <c r="AP112" s="1509">
        <v>4.24</v>
      </c>
      <c r="AQ112" s="1509">
        <v>4.24</v>
      </c>
      <c r="AR112" s="1509">
        <v>4.24</v>
      </c>
      <c r="AS112" s="1509">
        <v>4.24</v>
      </c>
      <c r="AT112" s="1509">
        <v>4.24</v>
      </c>
      <c r="AU112" s="1509">
        <v>4.24</v>
      </c>
      <c r="AV112" s="1509">
        <v>4.24</v>
      </c>
      <c r="AW112" s="1510">
        <v>4.24</v>
      </c>
      <c r="AY112" s="57"/>
      <c r="AZ112" s="59" t="s">
        <v>84</v>
      </c>
      <c r="BA112" s="555">
        <f t="shared" si="152"/>
        <v>0</v>
      </c>
      <c r="BB112" s="541">
        <f t="shared" si="153"/>
        <v>0</v>
      </c>
      <c r="BC112" s="542">
        <f t="shared" si="154"/>
        <v>0</v>
      </c>
      <c r="BD112" s="542">
        <f t="shared" si="154"/>
        <v>0</v>
      </c>
      <c r="BE112" s="542">
        <f t="shared" si="154"/>
        <v>0</v>
      </c>
      <c r="BF112" s="542">
        <f t="shared" si="154"/>
        <v>0</v>
      </c>
      <c r="BG112" s="542">
        <f t="shared" si="154"/>
        <v>0</v>
      </c>
      <c r="BH112" s="542">
        <f t="shared" si="154"/>
        <v>0</v>
      </c>
      <c r="BI112" s="542">
        <f t="shared" si="154"/>
        <v>0</v>
      </c>
      <c r="BJ112" s="542">
        <f t="shared" si="154"/>
        <v>0</v>
      </c>
      <c r="BK112" s="542">
        <f t="shared" si="154"/>
        <v>0</v>
      </c>
      <c r="BL112" s="542">
        <f t="shared" si="154"/>
        <v>0</v>
      </c>
      <c r="BM112" s="543">
        <f t="shared" si="154"/>
        <v>0</v>
      </c>
    </row>
    <row r="113" spans="2:102" ht="13.5" thickBot="1" x14ac:dyDescent="0.25">
      <c r="B113" s="57" t="s">
        <v>79</v>
      </c>
      <c r="C113" s="59" t="s">
        <v>82</v>
      </c>
      <c r="D113" s="452">
        <f t="shared" si="148"/>
        <v>0</v>
      </c>
      <c r="E113" s="1487"/>
      <c r="F113" s="1488"/>
      <c r="G113" s="1488"/>
      <c r="H113" s="1488"/>
      <c r="I113" s="1488"/>
      <c r="J113" s="1488"/>
      <c r="K113" s="1488"/>
      <c r="L113" s="1488"/>
      <c r="M113" s="1488"/>
      <c r="N113" s="1488"/>
      <c r="O113" s="1488"/>
      <c r="P113" s="1489"/>
      <c r="S113" s="255" t="s">
        <v>79</v>
      </c>
      <c r="T113" s="256" t="s">
        <v>82</v>
      </c>
      <c r="U113" s="452">
        <f t="shared" si="149"/>
        <v>0</v>
      </c>
      <c r="V113" s="519">
        <f t="shared" ref="V113:AG113" si="157">E113</f>
        <v>0</v>
      </c>
      <c r="W113" s="500">
        <f t="shared" si="157"/>
        <v>0</v>
      </c>
      <c r="X113" s="500">
        <f t="shared" si="157"/>
        <v>0</v>
      </c>
      <c r="Y113" s="500">
        <f t="shared" si="157"/>
        <v>0</v>
      </c>
      <c r="Z113" s="500">
        <f t="shared" si="157"/>
        <v>0</v>
      </c>
      <c r="AA113" s="500">
        <f t="shared" si="157"/>
        <v>0</v>
      </c>
      <c r="AB113" s="500">
        <f t="shared" si="157"/>
        <v>0</v>
      </c>
      <c r="AC113" s="500">
        <f t="shared" si="157"/>
        <v>0</v>
      </c>
      <c r="AD113" s="500">
        <f t="shared" si="157"/>
        <v>0</v>
      </c>
      <c r="AE113" s="500">
        <f t="shared" si="157"/>
        <v>0</v>
      </c>
      <c r="AF113" s="500">
        <f t="shared" si="157"/>
        <v>0</v>
      </c>
      <c r="AG113" s="529">
        <f t="shared" si="157"/>
        <v>0</v>
      </c>
      <c r="AI113" s="5" t="s">
        <v>79</v>
      </c>
      <c r="AJ113" s="36" t="s">
        <v>82</v>
      </c>
      <c r="AK113" s="587">
        <f t="shared" si="151"/>
        <v>0</v>
      </c>
      <c r="AL113" s="1496">
        <v>1.48</v>
      </c>
      <c r="AM113" s="1511">
        <v>1.5</v>
      </c>
      <c r="AN113" s="1511">
        <v>1.59</v>
      </c>
      <c r="AO113" s="1511">
        <v>1.42</v>
      </c>
      <c r="AP113" s="1511">
        <v>1.22</v>
      </c>
      <c r="AQ113" s="1511">
        <v>1.24</v>
      </c>
      <c r="AR113" s="1511">
        <v>1.4</v>
      </c>
      <c r="AS113" s="1511">
        <v>1.45</v>
      </c>
      <c r="AT113" s="1511">
        <v>1.5</v>
      </c>
      <c r="AU113" s="1511">
        <v>1.47</v>
      </c>
      <c r="AV113" s="1511">
        <v>1.43</v>
      </c>
      <c r="AW113" s="1498">
        <v>1.44</v>
      </c>
      <c r="AY113" s="5" t="s">
        <v>79</v>
      </c>
      <c r="AZ113" s="36" t="s">
        <v>82</v>
      </c>
      <c r="BA113" s="544">
        <f t="shared" si="152"/>
        <v>0</v>
      </c>
      <c r="BB113" s="519">
        <f t="shared" si="153"/>
        <v>0</v>
      </c>
      <c r="BC113" s="500">
        <f t="shared" si="154"/>
        <v>0</v>
      </c>
      <c r="BD113" s="500">
        <f t="shared" si="154"/>
        <v>0</v>
      </c>
      <c r="BE113" s="500">
        <f t="shared" si="154"/>
        <v>0</v>
      </c>
      <c r="BF113" s="500">
        <f t="shared" si="154"/>
        <v>0</v>
      </c>
      <c r="BG113" s="500">
        <f t="shared" si="154"/>
        <v>0</v>
      </c>
      <c r="BH113" s="500">
        <f t="shared" si="154"/>
        <v>0</v>
      </c>
      <c r="BI113" s="500">
        <f t="shared" si="154"/>
        <v>0</v>
      </c>
      <c r="BJ113" s="500">
        <f t="shared" si="154"/>
        <v>0</v>
      </c>
      <c r="BK113" s="500">
        <f t="shared" si="154"/>
        <v>0</v>
      </c>
      <c r="BL113" s="500">
        <f t="shared" si="154"/>
        <v>0</v>
      </c>
      <c r="BM113" s="529">
        <f t="shared" si="154"/>
        <v>0</v>
      </c>
    </row>
    <row r="114" spans="2:102" ht="19.5" customHeight="1" thickBot="1" x14ac:dyDescent="0.4">
      <c r="B114" s="57" t="s">
        <v>1</v>
      </c>
      <c r="C114" s="59" t="s">
        <v>77</v>
      </c>
      <c r="D114" s="501">
        <f t="shared" si="148"/>
        <v>0</v>
      </c>
      <c r="E114" s="1486"/>
      <c r="F114" s="1471"/>
      <c r="G114" s="1471"/>
      <c r="H114" s="1471"/>
      <c r="I114" s="1471"/>
      <c r="J114" s="1471"/>
      <c r="K114" s="1471"/>
      <c r="L114" s="1471"/>
      <c r="M114" s="1471"/>
      <c r="N114" s="1471"/>
      <c r="O114" s="1471"/>
      <c r="P114" s="1472"/>
      <c r="S114" s="255" t="s">
        <v>1</v>
      </c>
      <c r="T114" s="256" t="s">
        <v>83</v>
      </c>
      <c r="U114" s="501">
        <f t="shared" si="149"/>
        <v>0</v>
      </c>
      <c r="V114" s="530">
        <f>E114*'5 Kalan alkukäsittely satamassa'!$D$15</f>
        <v>0</v>
      </c>
      <c r="W114" s="524">
        <f>F114*'5 Kalan alkukäsittely satamassa'!$D$15</f>
        <v>0</v>
      </c>
      <c r="X114" s="524">
        <f>G114*'5 Kalan alkukäsittely satamassa'!$D$15</f>
        <v>0</v>
      </c>
      <c r="Y114" s="524">
        <f>H114*'5 Kalan alkukäsittely satamassa'!$D$15</f>
        <v>0</v>
      </c>
      <c r="Z114" s="524">
        <f>I114*'5 Kalan alkukäsittely satamassa'!$D$15</f>
        <v>0</v>
      </c>
      <c r="AA114" s="524">
        <f>J114*'5 Kalan alkukäsittely satamassa'!$D$15</f>
        <v>0</v>
      </c>
      <c r="AB114" s="524">
        <f>K114*'5 Kalan alkukäsittely satamassa'!$D$15</f>
        <v>0</v>
      </c>
      <c r="AC114" s="524">
        <f>L114*'5 Kalan alkukäsittely satamassa'!$D$15</f>
        <v>0</v>
      </c>
      <c r="AD114" s="524">
        <f>M114*'5 Kalan alkukäsittely satamassa'!$D$15</f>
        <v>0</v>
      </c>
      <c r="AE114" s="524">
        <f>N114*'5 Kalan alkukäsittely satamassa'!$D$15</f>
        <v>0</v>
      </c>
      <c r="AF114" s="524">
        <f>O114*'5 Kalan alkukäsittely satamassa'!$D$15</f>
        <v>0</v>
      </c>
      <c r="AG114" s="525">
        <f>P114*'5 Kalan alkukäsittely satamassa'!$D$15</f>
        <v>0</v>
      </c>
      <c r="AI114" s="57" t="s">
        <v>1</v>
      </c>
      <c r="AJ114" s="59" t="s">
        <v>83</v>
      </c>
      <c r="AK114" s="576">
        <f t="shared" si="151"/>
        <v>0</v>
      </c>
      <c r="AL114" s="1501">
        <v>4</v>
      </c>
      <c r="AM114" s="1502">
        <v>4</v>
      </c>
      <c r="AN114" s="1502">
        <v>4</v>
      </c>
      <c r="AO114" s="1502">
        <v>4</v>
      </c>
      <c r="AP114" s="1502">
        <v>4</v>
      </c>
      <c r="AQ114" s="1502">
        <v>4</v>
      </c>
      <c r="AR114" s="1502">
        <v>4</v>
      </c>
      <c r="AS114" s="1502">
        <v>4</v>
      </c>
      <c r="AT114" s="1502">
        <v>4</v>
      </c>
      <c r="AU114" s="1502">
        <v>4</v>
      </c>
      <c r="AV114" s="1502">
        <v>4</v>
      </c>
      <c r="AW114" s="1503">
        <v>4</v>
      </c>
      <c r="AY114" s="57" t="s">
        <v>1</v>
      </c>
      <c r="AZ114" s="59" t="s">
        <v>83</v>
      </c>
      <c r="BA114" s="501">
        <f t="shared" si="152"/>
        <v>0</v>
      </c>
      <c r="BB114" s="530">
        <f t="shared" si="153"/>
        <v>0</v>
      </c>
      <c r="BC114" s="524">
        <f t="shared" si="154"/>
        <v>0</v>
      </c>
      <c r="BD114" s="524">
        <f t="shared" si="154"/>
        <v>0</v>
      </c>
      <c r="BE114" s="524">
        <f t="shared" si="154"/>
        <v>0</v>
      </c>
      <c r="BF114" s="524">
        <f t="shared" si="154"/>
        <v>0</v>
      </c>
      <c r="BG114" s="524">
        <f t="shared" si="154"/>
        <v>0</v>
      </c>
      <c r="BH114" s="524">
        <f t="shared" si="154"/>
        <v>0</v>
      </c>
      <c r="BI114" s="524">
        <f t="shared" si="154"/>
        <v>0</v>
      </c>
      <c r="BJ114" s="524">
        <f t="shared" si="154"/>
        <v>0</v>
      </c>
      <c r="BK114" s="524">
        <f t="shared" si="154"/>
        <v>0</v>
      </c>
      <c r="BL114" s="524">
        <f t="shared" si="154"/>
        <v>0</v>
      </c>
      <c r="BM114" s="525">
        <f t="shared" si="154"/>
        <v>0</v>
      </c>
      <c r="CK114" s="792" t="str">
        <f>'3 Saalis'!T155</f>
        <v>PU-rysä1</v>
      </c>
      <c r="CL114" s="736"/>
      <c r="CM114" s="736"/>
      <c r="CN114" s="793" t="str">
        <f>'3 Saalis'!V155</f>
        <v>Yhteensä</v>
      </c>
      <c r="CO114" s="377"/>
      <c r="CP114" s="377"/>
      <c r="CQ114" s="377"/>
      <c r="CR114" s="734"/>
    </row>
    <row r="115" spans="2:102" ht="15.75" customHeight="1" thickBot="1" x14ac:dyDescent="0.4">
      <c r="B115" s="40"/>
      <c r="C115" s="56" t="s">
        <v>78</v>
      </c>
      <c r="D115" s="502">
        <f t="shared" si="148"/>
        <v>0</v>
      </c>
      <c r="E115" s="1483"/>
      <c r="F115" s="1477"/>
      <c r="G115" s="1477"/>
      <c r="H115" s="1477"/>
      <c r="I115" s="1477"/>
      <c r="J115" s="1477"/>
      <c r="K115" s="1477"/>
      <c r="L115" s="1477"/>
      <c r="M115" s="1477"/>
      <c r="N115" s="1477"/>
      <c r="O115" s="1477"/>
      <c r="P115" s="1478"/>
      <c r="S115" s="258"/>
      <c r="T115" s="259" t="s">
        <v>84</v>
      </c>
      <c r="U115" s="502">
        <f t="shared" si="149"/>
        <v>0</v>
      </c>
      <c r="V115" s="515">
        <f>E115*'5 Kalan alkukäsittely satamassa'!$F$15</f>
        <v>0</v>
      </c>
      <c r="W115" s="531">
        <f>F115*'5 Kalan alkukäsittely satamassa'!$F$15</f>
        <v>0</v>
      </c>
      <c r="X115" s="531">
        <f>G115*'5 Kalan alkukäsittely satamassa'!$F$15</f>
        <v>0</v>
      </c>
      <c r="Y115" s="531">
        <f>H115*'5 Kalan alkukäsittely satamassa'!$F$15</f>
        <v>0</v>
      </c>
      <c r="Z115" s="531">
        <f>I115*'5 Kalan alkukäsittely satamassa'!$F$15</f>
        <v>0</v>
      </c>
      <c r="AA115" s="531">
        <f>J115*'5 Kalan alkukäsittely satamassa'!$F$15</f>
        <v>0</v>
      </c>
      <c r="AB115" s="531">
        <f>K115*'5 Kalan alkukäsittely satamassa'!$F$15</f>
        <v>0</v>
      </c>
      <c r="AC115" s="531">
        <f>L115*'5 Kalan alkukäsittely satamassa'!$F$15</f>
        <v>0</v>
      </c>
      <c r="AD115" s="531">
        <f>M115*'5 Kalan alkukäsittely satamassa'!$F$15</f>
        <v>0</v>
      </c>
      <c r="AE115" s="531">
        <f>N115*'5 Kalan alkukäsittely satamassa'!$F$15</f>
        <v>0</v>
      </c>
      <c r="AF115" s="531">
        <f>O115*'5 Kalan alkukäsittely satamassa'!$F$15</f>
        <v>0</v>
      </c>
      <c r="AG115" s="532">
        <f>P115*'5 Kalan alkukäsittely satamassa'!$F$15</f>
        <v>0</v>
      </c>
      <c r="AI115" s="40"/>
      <c r="AJ115" s="56" t="s">
        <v>84</v>
      </c>
      <c r="AK115" s="588">
        <f t="shared" si="151"/>
        <v>0</v>
      </c>
      <c r="AL115" s="1504">
        <v>8</v>
      </c>
      <c r="AM115" s="1505">
        <v>8</v>
      </c>
      <c r="AN115" s="1505">
        <v>8</v>
      </c>
      <c r="AO115" s="1505">
        <v>8</v>
      </c>
      <c r="AP115" s="1505">
        <v>8</v>
      </c>
      <c r="AQ115" s="1505">
        <v>8</v>
      </c>
      <c r="AR115" s="1505">
        <v>8</v>
      </c>
      <c r="AS115" s="1505">
        <v>8</v>
      </c>
      <c r="AT115" s="1505">
        <v>8</v>
      </c>
      <c r="AU115" s="1505">
        <v>8</v>
      </c>
      <c r="AV115" s="1505">
        <v>8</v>
      </c>
      <c r="AW115" s="1506">
        <v>8</v>
      </c>
      <c r="AY115" s="40"/>
      <c r="AZ115" s="56" t="s">
        <v>84</v>
      </c>
      <c r="BA115" s="502">
        <f t="shared" si="152"/>
        <v>0</v>
      </c>
      <c r="BB115" s="515">
        <f t="shared" si="153"/>
        <v>0</v>
      </c>
      <c r="BC115" s="531">
        <f t="shared" si="154"/>
        <v>0</v>
      </c>
      <c r="BD115" s="531">
        <f t="shared" si="154"/>
        <v>0</v>
      </c>
      <c r="BE115" s="531">
        <f t="shared" si="154"/>
        <v>0</v>
      </c>
      <c r="BF115" s="531">
        <f t="shared" si="154"/>
        <v>0</v>
      </c>
      <c r="BG115" s="531">
        <f t="shared" si="154"/>
        <v>0</v>
      </c>
      <c r="BH115" s="531">
        <f t="shared" si="154"/>
        <v>0</v>
      </c>
      <c r="BI115" s="531">
        <f t="shared" si="154"/>
        <v>0</v>
      </c>
      <c r="BJ115" s="531">
        <f t="shared" si="154"/>
        <v>0</v>
      </c>
      <c r="BK115" s="531">
        <f t="shared" si="154"/>
        <v>0</v>
      </c>
      <c r="BL115" s="531">
        <f t="shared" si="154"/>
        <v>0</v>
      </c>
      <c r="BM115" s="532">
        <f t="shared" si="154"/>
        <v>0</v>
      </c>
      <c r="CK115" s="39"/>
      <c r="CL115" s="39"/>
      <c r="CM115" s="43"/>
    </row>
    <row r="116" spans="2:102" ht="15.75" customHeight="1" thickBot="1" x14ac:dyDescent="0.4">
      <c r="B116" s="40" t="s">
        <v>80</v>
      </c>
      <c r="C116" s="1485"/>
      <c r="D116" s="452">
        <f t="shared" si="148"/>
        <v>0</v>
      </c>
      <c r="E116" s="1484"/>
      <c r="F116" s="1480"/>
      <c r="G116" s="1480"/>
      <c r="H116" s="1480"/>
      <c r="I116" s="1480"/>
      <c r="J116" s="1480"/>
      <c r="K116" s="1480"/>
      <c r="L116" s="1480"/>
      <c r="M116" s="1480"/>
      <c r="N116" s="1480"/>
      <c r="O116" s="1480"/>
      <c r="P116" s="1481"/>
      <c r="S116" s="258" t="s">
        <v>80</v>
      </c>
      <c r="T116" s="1133">
        <f>C116</f>
        <v>0</v>
      </c>
      <c r="U116" s="452">
        <f t="shared" si="149"/>
        <v>0</v>
      </c>
      <c r="V116" s="537">
        <f t="shared" ref="V116:AG116" si="158">E116</f>
        <v>0</v>
      </c>
      <c r="W116" s="537">
        <f t="shared" si="158"/>
        <v>0</v>
      </c>
      <c r="X116" s="537">
        <f t="shared" si="158"/>
        <v>0</v>
      </c>
      <c r="Y116" s="537">
        <f t="shared" si="158"/>
        <v>0</v>
      </c>
      <c r="Z116" s="537">
        <f t="shared" si="158"/>
        <v>0</v>
      </c>
      <c r="AA116" s="537">
        <f t="shared" si="158"/>
        <v>0</v>
      </c>
      <c r="AB116" s="537">
        <f t="shared" si="158"/>
        <v>0</v>
      </c>
      <c r="AC116" s="537">
        <f t="shared" si="158"/>
        <v>0</v>
      </c>
      <c r="AD116" s="537">
        <f t="shared" si="158"/>
        <v>0</v>
      </c>
      <c r="AE116" s="537">
        <f t="shared" si="158"/>
        <v>0</v>
      </c>
      <c r="AF116" s="537">
        <f t="shared" si="158"/>
        <v>0</v>
      </c>
      <c r="AG116" s="538">
        <f t="shared" si="158"/>
        <v>0</v>
      </c>
      <c r="AI116" s="40" t="s">
        <v>80</v>
      </c>
      <c r="AJ116" s="1133">
        <f>T116</f>
        <v>0</v>
      </c>
      <c r="AK116" s="576">
        <f t="shared" si="151"/>
        <v>0</v>
      </c>
      <c r="AL116" s="1520"/>
      <c r="AM116" s="1521"/>
      <c r="AN116" s="1521"/>
      <c r="AO116" s="1521"/>
      <c r="AP116" s="1521"/>
      <c r="AQ116" s="1521"/>
      <c r="AR116" s="1521"/>
      <c r="AS116" s="1521"/>
      <c r="AT116" s="1521"/>
      <c r="AU116" s="1521"/>
      <c r="AV116" s="1521"/>
      <c r="AW116" s="1522"/>
      <c r="AY116" s="40" t="s">
        <v>80</v>
      </c>
      <c r="AZ116" s="1133">
        <f>AJ116</f>
        <v>0</v>
      </c>
      <c r="BA116" s="502">
        <f t="shared" si="152"/>
        <v>0</v>
      </c>
      <c r="BB116" s="548">
        <f t="shared" si="153"/>
        <v>0</v>
      </c>
      <c r="BC116" s="553">
        <f t="shared" si="154"/>
        <v>0</v>
      </c>
      <c r="BD116" s="553">
        <f t="shared" si="154"/>
        <v>0</v>
      </c>
      <c r="BE116" s="553">
        <f t="shared" si="154"/>
        <v>0</v>
      </c>
      <c r="BF116" s="553">
        <f t="shared" si="154"/>
        <v>0</v>
      </c>
      <c r="BG116" s="553">
        <f t="shared" si="154"/>
        <v>0</v>
      </c>
      <c r="BH116" s="553">
        <f t="shared" si="154"/>
        <v>0</v>
      </c>
      <c r="BI116" s="553">
        <f t="shared" si="154"/>
        <v>0</v>
      </c>
      <c r="BJ116" s="553">
        <f t="shared" si="154"/>
        <v>0</v>
      </c>
      <c r="BK116" s="553">
        <f t="shared" si="154"/>
        <v>0</v>
      </c>
      <c r="BL116" s="553">
        <f t="shared" si="154"/>
        <v>0</v>
      </c>
      <c r="BM116" s="554">
        <f t="shared" si="154"/>
        <v>0</v>
      </c>
      <c r="CK116" s="30" t="s">
        <v>39</v>
      </c>
      <c r="CL116" s="455">
        <f>'3 Saalis'!CJ113</f>
        <v>0</v>
      </c>
      <c r="CM116" s="8" t="s">
        <v>15</v>
      </c>
      <c r="CN116" s="41"/>
      <c r="CO116" s="42"/>
      <c r="CP116" s="8" t="s">
        <v>5</v>
      </c>
      <c r="CQ116" s="10"/>
      <c r="CR116" s="18"/>
      <c r="CS116" s="18"/>
      <c r="CT116" s="18"/>
      <c r="CU116" s="10"/>
    </row>
    <row r="117" spans="2:102" ht="13.5" thickBot="1" x14ac:dyDescent="0.25">
      <c r="B117" s="40" t="s">
        <v>72</v>
      </c>
      <c r="C117" s="14"/>
      <c r="D117" s="494">
        <f>D109-SUM(D110:D116)</f>
        <v>0</v>
      </c>
      <c r="E117" s="495">
        <f>E109-SUM(E110:E116)</f>
        <v>0</v>
      </c>
      <c r="F117" s="496">
        <f t="shared" ref="F117:O117" si="159">F109-SUM(F110:F116)</f>
        <v>0</v>
      </c>
      <c r="G117" s="496">
        <f t="shared" si="159"/>
        <v>0</v>
      </c>
      <c r="H117" s="496">
        <f t="shared" si="159"/>
        <v>0</v>
      </c>
      <c r="I117" s="496">
        <f t="shared" si="159"/>
        <v>0</v>
      </c>
      <c r="J117" s="496">
        <f t="shared" si="159"/>
        <v>0</v>
      </c>
      <c r="K117" s="496">
        <f t="shared" si="159"/>
        <v>0</v>
      </c>
      <c r="L117" s="496">
        <f t="shared" si="159"/>
        <v>0</v>
      </c>
      <c r="M117" s="496">
        <f t="shared" si="159"/>
        <v>0</v>
      </c>
      <c r="N117" s="496">
        <f t="shared" si="159"/>
        <v>0</v>
      </c>
      <c r="O117" s="496">
        <f t="shared" si="159"/>
        <v>0</v>
      </c>
      <c r="P117" s="497">
        <f>P109-SUM(P110:P116)</f>
        <v>0</v>
      </c>
      <c r="S117" s="258" t="s">
        <v>113</v>
      </c>
      <c r="T117" s="117"/>
      <c r="U117" s="494">
        <f>SUM(U110:U116)</f>
        <v>0</v>
      </c>
      <c r="V117" s="522">
        <f>SUM(V110:V116)</f>
        <v>0</v>
      </c>
      <c r="W117" s="517">
        <f t="shared" ref="W117:AG117" si="160">SUM(W110:W116)</f>
        <v>0</v>
      </c>
      <c r="X117" s="517">
        <f t="shared" si="160"/>
        <v>0</v>
      </c>
      <c r="Y117" s="517">
        <f t="shared" si="160"/>
        <v>0</v>
      </c>
      <c r="Z117" s="517">
        <f t="shared" si="160"/>
        <v>0</v>
      </c>
      <c r="AA117" s="517">
        <f t="shared" si="160"/>
        <v>0</v>
      </c>
      <c r="AB117" s="517">
        <f t="shared" si="160"/>
        <v>0</v>
      </c>
      <c r="AC117" s="517">
        <f t="shared" si="160"/>
        <v>0</v>
      </c>
      <c r="AD117" s="517">
        <f t="shared" si="160"/>
        <v>0</v>
      </c>
      <c r="AE117" s="517">
        <f t="shared" si="160"/>
        <v>0</v>
      </c>
      <c r="AF117" s="517">
        <f t="shared" si="160"/>
        <v>0</v>
      </c>
      <c r="AG117" s="539">
        <f t="shared" si="160"/>
        <v>0</v>
      </c>
      <c r="AI117" s="40" t="s">
        <v>99</v>
      </c>
      <c r="AJ117" s="14"/>
      <c r="AK117" s="586">
        <f t="shared" ref="AK117:AW117" si="161">IF(BA109=0,0,BA117/BA109)</f>
        <v>0</v>
      </c>
      <c r="AL117" s="580">
        <f>IF(BB109=0,0,BB117/BB109)</f>
        <v>0</v>
      </c>
      <c r="AM117" s="581">
        <f t="shared" si="161"/>
        <v>0</v>
      </c>
      <c r="AN117" s="581">
        <f t="shared" si="161"/>
        <v>0</v>
      </c>
      <c r="AO117" s="581">
        <f t="shared" si="161"/>
        <v>0</v>
      </c>
      <c r="AP117" s="581">
        <f t="shared" si="161"/>
        <v>0</v>
      </c>
      <c r="AQ117" s="581">
        <f t="shared" si="161"/>
        <v>0</v>
      </c>
      <c r="AR117" s="581">
        <f t="shared" si="161"/>
        <v>0</v>
      </c>
      <c r="AS117" s="581">
        <f t="shared" si="161"/>
        <v>0</v>
      </c>
      <c r="AT117" s="581">
        <f t="shared" si="161"/>
        <v>0</v>
      </c>
      <c r="AU117" s="581">
        <f t="shared" si="161"/>
        <v>0</v>
      </c>
      <c r="AV117" s="581">
        <f t="shared" si="161"/>
        <v>0</v>
      </c>
      <c r="AW117" s="582">
        <f t="shared" si="161"/>
        <v>0</v>
      </c>
      <c r="AY117" s="40" t="s">
        <v>98</v>
      </c>
      <c r="AZ117" s="14"/>
      <c r="BA117" s="494">
        <f t="shared" ref="BA117:BM117" si="162">SUM(BA110:BA116)</f>
        <v>0</v>
      </c>
      <c r="BB117" s="548">
        <f t="shared" si="162"/>
        <v>0</v>
      </c>
      <c r="BC117" s="553">
        <f t="shared" si="162"/>
        <v>0</v>
      </c>
      <c r="BD117" s="553">
        <f t="shared" si="162"/>
        <v>0</v>
      </c>
      <c r="BE117" s="553">
        <f t="shared" si="162"/>
        <v>0</v>
      </c>
      <c r="BF117" s="553">
        <f t="shared" si="162"/>
        <v>0</v>
      </c>
      <c r="BG117" s="553">
        <f t="shared" si="162"/>
        <v>0</v>
      </c>
      <c r="BH117" s="553">
        <f t="shared" si="162"/>
        <v>0</v>
      </c>
      <c r="BI117" s="553">
        <f t="shared" si="162"/>
        <v>0</v>
      </c>
      <c r="BJ117" s="553">
        <f t="shared" si="162"/>
        <v>0</v>
      </c>
      <c r="BK117" s="553">
        <f t="shared" si="162"/>
        <v>0</v>
      </c>
      <c r="BL117" s="553">
        <f t="shared" si="162"/>
        <v>0</v>
      </c>
      <c r="BM117" s="554">
        <f t="shared" si="162"/>
        <v>0</v>
      </c>
      <c r="CK117" s="30" t="s">
        <v>2</v>
      </c>
      <c r="CL117" s="1134" t="str">
        <f>'3 Saalis'!CJ114</f>
        <v>0</v>
      </c>
      <c r="CM117" s="8" t="s">
        <v>4</v>
      </c>
      <c r="CN117" s="10"/>
      <c r="CO117" s="455">
        <f>'3 Saalis'!CM114</f>
        <v>0</v>
      </c>
      <c r="CP117" s="8" t="s">
        <v>6</v>
      </c>
      <c r="CQ117" s="18"/>
      <c r="CR117" s="41"/>
      <c r="CS117" s="18"/>
      <c r="CT117" s="10"/>
      <c r="CU117" s="456">
        <f>'3 Saalis'!CS114</f>
        <v>0</v>
      </c>
    </row>
    <row r="118" spans="2:102" ht="13.5" thickBot="1" x14ac:dyDescent="0.25">
      <c r="E118" s="794" t="str">
        <f t="shared" ref="E118:P118" si="163">IF(E117&lt;0,"Ylimyynti!!!"," ")</f>
        <v xml:space="preserve"> </v>
      </c>
      <c r="F118" s="794" t="str">
        <f t="shared" si="163"/>
        <v xml:space="preserve"> </v>
      </c>
      <c r="G118" s="794" t="str">
        <f t="shared" si="163"/>
        <v xml:space="preserve"> </v>
      </c>
      <c r="H118" s="794" t="str">
        <f t="shared" si="163"/>
        <v xml:space="preserve"> </v>
      </c>
      <c r="I118" s="794" t="str">
        <f t="shared" si="163"/>
        <v xml:space="preserve"> </v>
      </c>
      <c r="J118" s="794" t="str">
        <f t="shared" si="163"/>
        <v xml:space="preserve"> </v>
      </c>
      <c r="K118" s="794" t="str">
        <f t="shared" si="163"/>
        <v xml:space="preserve"> </v>
      </c>
      <c r="L118" s="794" t="str">
        <f t="shared" si="163"/>
        <v xml:space="preserve"> </v>
      </c>
      <c r="M118" s="794" t="str">
        <f t="shared" si="163"/>
        <v xml:space="preserve"> </v>
      </c>
      <c r="N118" s="794" t="str">
        <f t="shared" si="163"/>
        <v xml:space="preserve"> </v>
      </c>
      <c r="O118" s="794" t="str">
        <f t="shared" si="163"/>
        <v xml:space="preserve"> </v>
      </c>
      <c r="P118" s="794" t="str">
        <f t="shared" si="163"/>
        <v xml:space="preserve"> </v>
      </c>
      <c r="CK118" s="30" t="s">
        <v>3</v>
      </c>
      <c r="CL118" s="1134" t="str">
        <f>'3 Saalis'!CJ115</f>
        <v>0</v>
      </c>
      <c r="CM118" s="8" t="s">
        <v>38</v>
      </c>
      <c r="CN118" s="10"/>
      <c r="CO118" s="455">
        <f>'3 Saalis'!CM115</f>
        <v>0</v>
      </c>
      <c r="CP118" s="40" t="s">
        <v>26</v>
      </c>
      <c r="CQ118" s="14"/>
      <c r="CR118" s="14"/>
      <c r="CS118" s="14"/>
      <c r="CT118" s="17"/>
      <c r="CU118" s="731">
        <f>'3 Saalis'!CS115</f>
        <v>0</v>
      </c>
    </row>
    <row r="119" spans="2:102" ht="13.5" thickBot="1" x14ac:dyDescent="0.25">
      <c r="B119" s="5" t="s">
        <v>92</v>
      </c>
      <c r="C119" s="36"/>
      <c r="D119" s="249" t="s">
        <v>40</v>
      </c>
      <c r="E119" s="245"/>
      <c r="F119" s="246"/>
      <c r="G119" s="246"/>
      <c r="H119" s="246"/>
      <c r="I119" s="246"/>
      <c r="J119" s="219" t="s">
        <v>42</v>
      </c>
      <c r="K119" s="246"/>
      <c r="L119" s="246"/>
      <c r="M119" s="246"/>
      <c r="N119" s="246"/>
      <c r="O119" s="246"/>
      <c r="P119" s="247"/>
      <c r="Q119" s="250"/>
      <c r="S119" s="251" t="s">
        <v>92</v>
      </c>
      <c r="T119" s="252"/>
      <c r="U119" s="249" t="s">
        <v>40</v>
      </c>
      <c r="V119" s="245"/>
      <c r="W119" s="246"/>
      <c r="X119" s="246"/>
      <c r="Y119" s="246"/>
      <c r="Z119" s="246"/>
      <c r="AA119" s="219" t="s">
        <v>42</v>
      </c>
      <c r="AB119" s="246"/>
      <c r="AC119" s="246"/>
      <c r="AD119" s="246"/>
      <c r="AE119" s="246"/>
      <c r="AF119" s="246"/>
      <c r="AG119" s="247"/>
      <c r="AI119" s="5" t="s">
        <v>92</v>
      </c>
      <c r="AJ119" s="36"/>
      <c r="AK119" s="51" t="s">
        <v>40</v>
      </c>
      <c r="AL119" s="47"/>
      <c r="AM119" s="48"/>
      <c r="AN119" s="48"/>
      <c r="AO119" s="48"/>
      <c r="AP119" s="48"/>
      <c r="AQ119" s="41" t="s">
        <v>42</v>
      </c>
      <c r="AR119" s="48"/>
      <c r="AS119" s="48"/>
      <c r="AT119" s="48"/>
      <c r="AU119" s="48"/>
      <c r="AV119" s="48"/>
      <c r="AW119" s="49"/>
      <c r="AY119" s="5" t="s">
        <v>92</v>
      </c>
      <c r="AZ119" s="36"/>
      <c r="BA119" s="249" t="s">
        <v>40</v>
      </c>
      <c r="BB119" s="245"/>
      <c r="BC119" s="246"/>
      <c r="BD119" s="246"/>
      <c r="BE119" s="246"/>
      <c r="BF119" s="246"/>
      <c r="BG119" s="219" t="s">
        <v>42</v>
      </c>
      <c r="BH119" s="246"/>
      <c r="BI119" s="246"/>
      <c r="BJ119" s="246"/>
      <c r="BK119" s="246"/>
      <c r="BL119" s="246"/>
      <c r="BM119" s="247"/>
      <c r="CK119" s="34"/>
      <c r="CL119" s="34"/>
      <c r="CM119" s="45"/>
      <c r="CN119" s="34"/>
      <c r="CP119" s="46"/>
      <c r="CQ119" s="34"/>
      <c r="CV119" s="34"/>
    </row>
    <row r="120" spans="2:102" ht="13.5" thickBot="1" x14ac:dyDescent="0.25">
      <c r="B120" s="57"/>
      <c r="C120" s="59"/>
      <c r="D120" s="253" t="s">
        <v>41</v>
      </c>
      <c r="E120" s="254">
        <v>1</v>
      </c>
      <c r="F120" s="70">
        <v>2</v>
      </c>
      <c r="G120" s="70">
        <v>3</v>
      </c>
      <c r="H120" s="70">
        <v>4</v>
      </c>
      <c r="I120" s="70">
        <v>5</v>
      </c>
      <c r="J120" s="70">
        <v>6</v>
      </c>
      <c r="K120" s="70">
        <v>7</v>
      </c>
      <c r="L120" s="70">
        <v>8</v>
      </c>
      <c r="M120" s="70">
        <v>9</v>
      </c>
      <c r="N120" s="70">
        <v>10</v>
      </c>
      <c r="O120" s="70">
        <v>11</v>
      </c>
      <c r="P120" s="71">
        <v>12</v>
      </c>
      <c r="Q120" s="87"/>
      <c r="S120" s="255"/>
      <c r="T120" s="256"/>
      <c r="U120" s="253" t="s">
        <v>41</v>
      </c>
      <c r="V120" s="254">
        <v>1</v>
      </c>
      <c r="W120" s="70">
        <v>2</v>
      </c>
      <c r="X120" s="70">
        <v>3</v>
      </c>
      <c r="Y120" s="70">
        <v>4</v>
      </c>
      <c r="Z120" s="70">
        <v>5</v>
      </c>
      <c r="AA120" s="70">
        <v>6</v>
      </c>
      <c r="AB120" s="70">
        <v>7</v>
      </c>
      <c r="AC120" s="70">
        <v>8</v>
      </c>
      <c r="AD120" s="70">
        <v>9</v>
      </c>
      <c r="AE120" s="70">
        <v>10</v>
      </c>
      <c r="AF120" s="70">
        <v>11</v>
      </c>
      <c r="AG120" s="71">
        <v>12</v>
      </c>
      <c r="AI120" s="57"/>
      <c r="AJ120" s="59"/>
      <c r="AK120" s="69" t="s">
        <v>41</v>
      </c>
      <c r="AL120" s="72">
        <v>1</v>
      </c>
      <c r="AM120" s="70">
        <v>2</v>
      </c>
      <c r="AN120" s="70">
        <v>3</v>
      </c>
      <c r="AO120" s="70">
        <v>4</v>
      </c>
      <c r="AP120" s="70">
        <v>5</v>
      </c>
      <c r="AQ120" s="70">
        <v>6</v>
      </c>
      <c r="AR120" s="70">
        <v>7</v>
      </c>
      <c r="AS120" s="70">
        <v>8</v>
      </c>
      <c r="AT120" s="70">
        <v>9</v>
      </c>
      <c r="AU120" s="70">
        <v>10</v>
      </c>
      <c r="AV120" s="70">
        <v>11</v>
      </c>
      <c r="AW120" s="71">
        <v>12</v>
      </c>
      <c r="AY120" s="57"/>
      <c r="AZ120" s="59"/>
      <c r="BA120" s="253" t="s">
        <v>41</v>
      </c>
      <c r="BB120" s="254">
        <v>1</v>
      </c>
      <c r="BC120" s="70">
        <v>2</v>
      </c>
      <c r="BD120" s="70">
        <v>3</v>
      </c>
      <c r="BE120" s="70">
        <v>4</v>
      </c>
      <c r="BF120" s="70">
        <v>5</v>
      </c>
      <c r="BG120" s="70">
        <v>6</v>
      </c>
      <c r="BH120" s="70">
        <v>7</v>
      </c>
      <c r="BI120" s="70">
        <v>8</v>
      </c>
      <c r="BJ120" s="70">
        <v>9</v>
      </c>
      <c r="BK120" s="70">
        <v>10</v>
      </c>
      <c r="BL120" s="70">
        <v>11</v>
      </c>
      <c r="BM120" s="71">
        <v>12</v>
      </c>
      <c r="CK120" s="44" t="s">
        <v>380</v>
      </c>
      <c r="CL120" s="52" t="s">
        <v>40</v>
      </c>
      <c r="CM120" s="47"/>
      <c r="CN120" s="48"/>
      <c r="CO120" s="48"/>
      <c r="CP120" s="48"/>
      <c r="CQ120" s="48"/>
      <c r="CR120" s="41" t="s">
        <v>42</v>
      </c>
      <c r="CS120" s="48"/>
      <c r="CT120" s="48"/>
      <c r="CU120" s="48"/>
      <c r="CV120" s="48"/>
      <c r="CW120" s="48"/>
      <c r="CX120" s="49"/>
    </row>
    <row r="121" spans="2:102" ht="13.5" thickBot="1" x14ac:dyDescent="0.25">
      <c r="B121" s="8" t="s">
        <v>73</v>
      </c>
      <c r="C121" s="58"/>
      <c r="D121" s="423">
        <f>'3 Saalis'!D15</f>
        <v>0</v>
      </c>
      <c r="E121" s="503">
        <f>'3 Saalis'!E15</f>
        <v>0</v>
      </c>
      <c r="F121" s="453">
        <f>'3 Saalis'!F15</f>
        <v>0</v>
      </c>
      <c r="G121" s="453">
        <f>'3 Saalis'!G15</f>
        <v>0</v>
      </c>
      <c r="H121" s="453">
        <f>'3 Saalis'!H15</f>
        <v>0</v>
      </c>
      <c r="I121" s="453">
        <f>'3 Saalis'!I15</f>
        <v>0</v>
      </c>
      <c r="J121" s="453">
        <f>'3 Saalis'!J15</f>
        <v>0</v>
      </c>
      <c r="K121" s="453">
        <f>'3 Saalis'!K15</f>
        <v>0</v>
      </c>
      <c r="L121" s="453">
        <f>'3 Saalis'!L15</f>
        <v>0</v>
      </c>
      <c r="M121" s="453">
        <f>'3 Saalis'!M15</f>
        <v>0</v>
      </c>
      <c r="N121" s="453">
        <f>'3 Saalis'!N15</f>
        <v>0</v>
      </c>
      <c r="O121" s="453">
        <f>'3 Saalis'!O15</f>
        <v>0</v>
      </c>
      <c r="P121" s="454">
        <f>'3 Saalis'!P15</f>
        <v>0</v>
      </c>
      <c r="Q121" s="257"/>
      <c r="S121" s="260" t="s">
        <v>73</v>
      </c>
      <c r="T121" s="261"/>
      <c r="U121" s="423">
        <f t="shared" ref="U121:AG121" si="164">D121</f>
        <v>0</v>
      </c>
      <c r="V121" s="528">
        <f t="shared" si="164"/>
        <v>0</v>
      </c>
      <c r="W121" s="488">
        <f t="shared" si="164"/>
        <v>0</v>
      </c>
      <c r="X121" s="488">
        <f t="shared" si="164"/>
        <v>0</v>
      </c>
      <c r="Y121" s="488">
        <f t="shared" si="164"/>
        <v>0</v>
      </c>
      <c r="Z121" s="488">
        <f t="shared" si="164"/>
        <v>0</v>
      </c>
      <c r="AA121" s="488">
        <f t="shared" si="164"/>
        <v>0</v>
      </c>
      <c r="AB121" s="488">
        <f t="shared" si="164"/>
        <v>0</v>
      </c>
      <c r="AC121" s="488">
        <f t="shared" si="164"/>
        <v>0</v>
      </c>
      <c r="AD121" s="488">
        <f t="shared" si="164"/>
        <v>0</v>
      </c>
      <c r="AE121" s="488">
        <f t="shared" si="164"/>
        <v>0</v>
      </c>
      <c r="AF121" s="488">
        <f t="shared" si="164"/>
        <v>0</v>
      </c>
      <c r="AG121" s="489">
        <f t="shared" si="164"/>
        <v>0</v>
      </c>
      <c r="AI121" s="8" t="s">
        <v>73</v>
      </c>
      <c r="AJ121" s="58"/>
      <c r="AK121" s="424">
        <f t="shared" ref="AK121:AW121" si="165">D121</f>
        <v>0</v>
      </c>
      <c r="AL121" s="583">
        <f t="shared" si="165"/>
        <v>0</v>
      </c>
      <c r="AM121" s="583">
        <f t="shared" si="165"/>
        <v>0</v>
      </c>
      <c r="AN121" s="583">
        <f t="shared" si="165"/>
        <v>0</v>
      </c>
      <c r="AO121" s="583">
        <f t="shared" si="165"/>
        <v>0</v>
      </c>
      <c r="AP121" s="583">
        <f t="shared" si="165"/>
        <v>0</v>
      </c>
      <c r="AQ121" s="583">
        <f t="shared" si="165"/>
        <v>0</v>
      </c>
      <c r="AR121" s="583">
        <f t="shared" si="165"/>
        <v>0</v>
      </c>
      <c r="AS121" s="583">
        <f t="shared" si="165"/>
        <v>0</v>
      </c>
      <c r="AT121" s="583">
        <f t="shared" si="165"/>
        <v>0</v>
      </c>
      <c r="AU121" s="583">
        <f t="shared" si="165"/>
        <v>0</v>
      </c>
      <c r="AV121" s="583">
        <f t="shared" si="165"/>
        <v>0</v>
      </c>
      <c r="AW121" s="1135">
        <f t="shared" si="165"/>
        <v>0</v>
      </c>
      <c r="AY121" s="8" t="s">
        <v>73</v>
      </c>
      <c r="AZ121" s="58"/>
      <c r="BA121" s="423">
        <f>AK121</f>
        <v>0</v>
      </c>
      <c r="BB121" s="488">
        <f t="shared" ref="BB121:BM121" si="166">AL121</f>
        <v>0</v>
      </c>
      <c r="BC121" s="488">
        <f t="shared" si="166"/>
        <v>0</v>
      </c>
      <c r="BD121" s="488">
        <f t="shared" si="166"/>
        <v>0</v>
      </c>
      <c r="BE121" s="488">
        <f t="shared" si="166"/>
        <v>0</v>
      </c>
      <c r="BF121" s="488">
        <f t="shared" si="166"/>
        <v>0</v>
      </c>
      <c r="BG121" s="488">
        <f t="shared" si="166"/>
        <v>0</v>
      </c>
      <c r="BH121" s="488">
        <f t="shared" si="166"/>
        <v>0</v>
      </c>
      <c r="BI121" s="488">
        <f t="shared" si="166"/>
        <v>0</v>
      </c>
      <c r="BJ121" s="488">
        <f t="shared" si="166"/>
        <v>0</v>
      </c>
      <c r="BK121" s="488">
        <f t="shared" si="166"/>
        <v>0</v>
      </c>
      <c r="BL121" s="488">
        <f t="shared" si="166"/>
        <v>0</v>
      </c>
      <c r="BM121" s="489">
        <f t="shared" si="166"/>
        <v>0</v>
      </c>
      <c r="CK121" s="54"/>
      <c r="CL121" s="55" t="s">
        <v>41</v>
      </c>
      <c r="CM121" s="72">
        <v>1</v>
      </c>
      <c r="CN121" s="70">
        <v>2</v>
      </c>
      <c r="CO121" s="70">
        <v>3</v>
      </c>
      <c r="CP121" s="70">
        <v>4</v>
      </c>
      <c r="CQ121" s="70">
        <v>5</v>
      </c>
      <c r="CR121" s="70">
        <v>6</v>
      </c>
      <c r="CS121" s="70">
        <v>7</v>
      </c>
      <c r="CT121" s="70">
        <v>8</v>
      </c>
      <c r="CU121" s="70">
        <v>9</v>
      </c>
      <c r="CV121" s="70">
        <v>10</v>
      </c>
      <c r="CW121" s="70">
        <v>11</v>
      </c>
      <c r="CX121" s="71">
        <v>12</v>
      </c>
    </row>
    <row r="122" spans="2:102" x14ac:dyDescent="0.2">
      <c r="B122" s="5" t="s">
        <v>64</v>
      </c>
      <c r="C122" s="77" t="s">
        <v>82</v>
      </c>
      <c r="D122" s="450">
        <f t="shared" ref="D122:D130" si="167">SUM(E122:P122)</f>
        <v>0</v>
      </c>
      <c r="E122" s="1482"/>
      <c r="F122" s="1468"/>
      <c r="G122" s="1468"/>
      <c r="H122" s="1468"/>
      <c r="I122" s="1468"/>
      <c r="J122" s="1468"/>
      <c r="K122" s="1468"/>
      <c r="L122" s="1468"/>
      <c r="M122" s="1468"/>
      <c r="N122" s="1468"/>
      <c r="O122" s="1468"/>
      <c r="P122" s="1469"/>
      <c r="S122" s="251" t="s">
        <v>64</v>
      </c>
      <c r="T122" s="262" t="s">
        <v>82</v>
      </c>
      <c r="U122" s="452">
        <f>SUM(V122:AG122)</f>
        <v>0</v>
      </c>
      <c r="V122" s="519">
        <f t="shared" ref="V122:AG122" si="168">E122</f>
        <v>0</v>
      </c>
      <c r="W122" s="500">
        <f t="shared" si="168"/>
        <v>0</v>
      </c>
      <c r="X122" s="500">
        <f t="shared" si="168"/>
        <v>0</v>
      </c>
      <c r="Y122" s="500">
        <f t="shared" si="168"/>
        <v>0</v>
      </c>
      <c r="Z122" s="500">
        <f t="shared" si="168"/>
        <v>0</v>
      </c>
      <c r="AA122" s="500">
        <f t="shared" si="168"/>
        <v>0</v>
      </c>
      <c r="AB122" s="500">
        <f t="shared" si="168"/>
        <v>0</v>
      </c>
      <c r="AC122" s="500">
        <f t="shared" si="168"/>
        <v>0</v>
      </c>
      <c r="AD122" s="500">
        <f t="shared" si="168"/>
        <v>0</v>
      </c>
      <c r="AE122" s="500">
        <f t="shared" si="168"/>
        <v>0</v>
      </c>
      <c r="AF122" s="500">
        <f t="shared" si="168"/>
        <v>0</v>
      </c>
      <c r="AG122" s="529">
        <f t="shared" si="168"/>
        <v>0</v>
      </c>
      <c r="AI122" s="5" t="s">
        <v>64</v>
      </c>
      <c r="AJ122" s="73" t="s">
        <v>82</v>
      </c>
      <c r="AK122" s="576">
        <f>IF(D122=0,0,BA122/D122)</f>
        <v>0</v>
      </c>
      <c r="AL122" s="1496">
        <v>4.8099999999999996</v>
      </c>
      <c r="AM122" s="1511">
        <v>4.7699999999999996</v>
      </c>
      <c r="AN122" s="1511">
        <v>4.53</v>
      </c>
      <c r="AO122" s="1511">
        <v>3.02</v>
      </c>
      <c r="AP122" s="1511">
        <v>0</v>
      </c>
      <c r="AQ122" s="1511">
        <v>0</v>
      </c>
      <c r="AR122" s="1511">
        <v>0</v>
      </c>
      <c r="AS122" s="1511">
        <v>0</v>
      </c>
      <c r="AT122" s="1511">
        <v>0</v>
      </c>
      <c r="AU122" s="1511">
        <v>2.19</v>
      </c>
      <c r="AV122" s="1511">
        <v>1.65</v>
      </c>
      <c r="AW122" s="1498">
        <v>6.48</v>
      </c>
      <c r="AY122" s="5" t="s">
        <v>64</v>
      </c>
      <c r="AZ122" s="73" t="s">
        <v>82</v>
      </c>
      <c r="BA122" s="595">
        <f>SUM(BB122:BM122)</f>
        <v>0</v>
      </c>
      <c r="BB122" s="519">
        <f>V122*AL122</f>
        <v>0</v>
      </c>
      <c r="BC122" s="500">
        <f t="shared" ref="BC122:BM132" si="169">W122*AM122</f>
        <v>0</v>
      </c>
      <c r="BD122" s="500">
        <f t="shared" si="169"/>
        <v>0</v>
      </c>
      <c r="BE122" s="500">
        <f t="shared" si="169"/>
        <v>0</v>
      </c>
      <c r="BF122" s="500">
        <f t="shared" si="169"/>
        <v>0</v>
      </c>
      <c r="BG122" s="500">
        <f t="shared" si="169"/>
        <v>0</v>
      </c>
      <c r="BH122" s="500">
        <f t="shared" si="169"/>
        <v>0</v>
      </c>
      <c r="BI122" s="500">
        <f t="shared" si="169"/>
        <v>0</v>
      </c>
      <c r="BJ122" s="500">
        <f t="shared" si="169"/>
        <v>0</v>
      </c>
      <c r="BK122" s="500">
        <f t="shared" si="169"/>
        <v>0</v>
      </c>
      <c r="BL122" s="500">
        <f t="shared" si="169"/>
        <v>0</v>
      </c>
      <c r="BM122" s="529">
        <f t="shared" si="169"/>
        <v>0</v>
      </c>
      <c r="CK122" s="5" t="s">
        <v>100</v>
      </c>
      <c r="CL122" s="432">
        <f>SUM(CM122:CX122)</f>
        <v>0</v>
      </c>
      <c r="CM122" s="433">
        <f>CM7*'3 Saalis'!CK119</f>
        <v>0</v>
      </c>
      <c r="CN122" s="434">
        <f>CN7*'3 Saalis'!CL119</f>
        <v>0</v>
      </c>
      <c r="CO122" s="434">
        <f>CO7*'3 Saalis'!CM119</f>
        <v>0</v>
      </c>
      <c r="CP122" s="434">
        <f>CP7*'3 Saalis'!CN119</f>
        <v>0</v>
      </c>
      <c r="CQ122" s="434">
        <f>CQ7*'3 Saalis'!CO119</f>
        <v>0</v>
      </c>
      <c r="CR122" s="434">
        <f>CR7*'3 Saalis'!CP119</f>
        <v>0</v>
      </c>
      <c r="CS122" s="434">
        <f>CS7*'3 Saalis'!CQ119</f>
        <v>0</v>
      </c>
      <c r="CT122" s="434">
        <f>CT7*'3 Saalis'!CR119</f>
        <v>0</v>
      </c>
      <c r="CU122" s="434">
        <f>CU7*'3 Saalis'!CS119</f>
        <v>0</v>
      </c>
      <c r="CV122" s="434">
        <f>CV7*'3 Saalis'!CT119</f>
        <v>0</v>
      </c>
      <c r="CW122" s="434">
        <f>CW7*'3 Saalis'!CU119</f>
        <v>0</v>
      </c>
      <c r="CX122" s="435">
        <f>CX7*'3 Saalis'!CV119</f>
        <v>0</v>
      </c>
    </row>
    <row r="123" spans="2:102" x14ac:dyDescent="0.2">
      <c r="B123" s="57"/>
      <c r="C123" s="59" t="s">
        <v>77</v>
      </c>
      <c r="D123" s="450">
        <f t="shared" si="167"/>
        <v>0</v>
      </c>
      <c r="E123" s="1486"/>
      <c r="F123" s="1471"/>
      <c r="G123" s="1471"/>
      <c r="H123" s="1471"/>
      <c r="I123" s="1471"/>
      <c r="J123" s="1471"/>
      <c r="K123" s="1471"/>
      <c r="L123" s="1471"/>
      <c r="M123" s="1471"/>
      <c r="N123" s="1471"/>
      <c r="O123" s="1471"/>
      <c r="P123" s="1472"/>
      <c r="S123" s="255"/>
      <c r="T123" s="267" t="s">
        <v>83</v>
      </c>
      <c r="U123" s="501">
        <f t="shared" ref="U123:U132" si="170">SUM(V123:AG123)</f>
        <v>0</v>
      </c>
      <c r="V123" s="530">
        <f>E123*'5 Kalan alkukäsittely satamassa'!$D$16</f>
        <v>0</v>
      </c>
      <c r="W123" s="524">
        <f>F123*'5 Kalan alkukäsittely satamassa'!$D$16</f>
        <v>0</v>
      </c>
      <c r="X123" s="524">
        <f>G123*'5 Kalan alkukäsittely satamassa'!$D$16</f>
        <v>0</v>
      </c>
      <c r="Y123" s="524">
        <f>H123*'5 Kalan alkukäsittely satamassa'!$D$16</f>
        <v>0</v>
      </c>
      <c r="Z123" s="524">
        <f>I123*'5 Kalan alkukäsittely satamassa'!$D$16</f>
        <v>0</v>
      </c>
      <c r="AA123" s="524">
        <f>J123*'5 Kalan alkukäsittely satamassa'!$D$16</f>
        <v>0</v>
      </c>
      <c r="AB123" s="524">
        <f>K123*'5 Kalan alkukäsittely satamassa'!$D$16</f>
        <v>0</v>
      </c>
      <c r="AC123" s="524">
        <f>L123*'5 Kalan alkukäsittely satamassa'!$D$16</f>
        <v>0</v>
      </c>
      <c r="AD123" s="524">
        <f>M123*'5 Kalan alkukäsittely satamassa'!$D$16</f>
        <v>0</v>
      </c>
      <c r="AE123" s="524">
        <f>N123*'5 Kalan alkukäsittely satamassa'!$D$16</f>
        <v>0</v>
      </c>
      <c r="AF123" s="524">
        <f>O123*'5 Kalan alkukäsittely satamassa'!$D$16</f>
        <v>0</v>
      </c>
      <c r="AG123" s="525">
        <f>P123*'5 Kalan alkukäsittely satamassa'!$D$16</f>
        <v>0</v>
      </c>
      <c r="AI123" s="57"/>
      <c r="AJ123" s="59" t="s">
        <v>83</v>
      </c>
      <c r="AK123" s="576">
        <f>IF(D123=0,0,BA123/D123)</f>
        <v>0</v>
      </c>
      <c r="AL123" s="1501">
        <v>5</v>
      </c>
      <c r="AM123" s="1502">
        <v>5</v>
      </c>
      <c r="AN123" s="1502">
        <v>5</v>
      </c>
      <c r="AO123" s="1502">
        <v>5</v>
      </c>
      <c r="AP123" s="1502">
        <v>5</v>
      </c>
      <c r="AQ123" s="1502">
        <v>5</v>
      </c>
      <c r="AR123" s="1502">
        <v>5</v>
      </c>
      <c r="AS123" s="1502">
        <v>5</v>
      </c>
      <c r="AT123" s="1502">
        <v>5</v>
      </c>
      <c r="AU123" s="1502">
        <v>5</v>
      </c>
      <c r="AV123" s="1502">
        <v>5</v>
      </c>
      <c r="AW123" s="1503">
        <v>3</v>
      </c>
      <c r="AY123" s="57"/>
      <c r="AZ123" s="59" t="s">
        <v>83</v>
      </c>
      <c r="BA123" s="504">
        <f>SUM(BB123:BM123)</f>
        <v>0</v>
      </c>
      <c r="BB123" s="530">
        <f t="shared" ref="BB123:BB132" si="171">V123*AL123</f>
        <v>0</v>
      </c>
      <c r="BC123" s="524">
        <f t="shared" si="169"/>
        <v>0</v>
      </c>
      <c r="BD123" s="524">
        <f t="shared" si="169"/>
        <v>0</v>
      </c>
      <c r="BE123" s="524">
        <f t="shared" si="169"/>
        <v>0</v>
      </c>
      <c r="BF123" s="524">
        <f t="shared" si="169"/>
        <v>0</v>
      </c>
      <c r="BG123" s="524">
        <f t="shared" si="169"/>
        <v>0</v>
      </c>
      <c r="BH123" s="524">
        <f t="shared" si="169"/>
        <v>0</v>
      </c>
      <c r="BI123" s="524">
        <f t="shared" si="169"/>
        <v>0</v>
      </c>
      <c r="BJ123" s="524">
        <f t="shared" si="169"/>
        <v>0</v>
      </c>
      <c r="BK123" s="524">
        <f t="shared" si="169"/>
        <v>0</v>
      </c>
      <c r="BL123" s="524">
        <f t="shared" si="169"/>
        <v>0</v>
      </c>
      <c r="BM123" s="525">
        <f t="shared" si="169"/>
        <v>0</v>
      </c>
      <c r="CK123" s="57" t="s">
        <v>108</v>
      </c>
      <c r="CL123" s="436">
        <f t="shared" ref="CL123:CL133" si="172">SUM(CM123:CX123)</f>
        <v>0</v>
      </c>
      <c r="CM123" s="437">
        <f>CM8*'3 Saalis'!CK120</f>
        <v>0</v>
      </c>
      <c r="CN123" s="438">
        <f>CN8*'3 Saalis'!CL120</f>
        <v>0</v>
      </c>
      <c r="CO123" s="438">
        <f>CO8*'3 Saalis'!CM120</f>
        <v>0</v>
      </c>
      <c r="CP123" s="438">
        <f>CP8*'3 Saalis'!CN120</f>
        <v>0</v>
      </c>
      <c r="CQ123" s="438">
        <f>CQ8*'3 Saalis'!CO120</f>
        <v>0</v>
      </c>
      <c r="CR123" s="438">
        <f>CR8*'3 Saalis'!CP120</f>
        <v>0</v>
      </c>
      <c r="CS123" s="438">
        <f>CS8*'3 Saalis'!CQ120</f>
        <v>0</v>
      </c>
      <c r="CT123" s="438">
        <f>CT8*'3 Saalis'!CR120</f>
        <v>0</v>
      </c>
      <c r="CU123" s="438">
        <f>CU8*'3 Saalis'!CS120</f>
        <v>0</v>
      </c>
      <c r="CV123" s="438">
        <f>CV8*'3 Saalis'!CT120</f>
        <v>0</v>
      </c>
      <c r="CW123" s="438">
        <f>CW8*'3 Saalis'!CU120</f>
        <v>0</v>
      </c>
      <c r="CX123" s="439">
        <f>CX8*'3 Saalis'!CV120</f>
        <v>0</v>
      </c>
    </row>
    <row r="124" spans="2:102" x14ac:dyDescent="0.2">
      <c r="B124" s="57"/>
      <c r="C124" s="59" t="s">
        <v>96</v>
      </c>
      <c r="D124" s="450">
        <f t="shared" si="167"/>
        <v>0</v>
      </c>
      <c r="E124" s="1486"/>
      <c r="F124" s="1471"/>
      <c r="G124" s="1471"/>
      <c r="H124" s="1471"/>
      <c r="I124" s="1471"/>
      <c r="J124" s="1471"/>
      <c r="K124" s="1471"/>
      <c r="L124" s="1471"/>
      <c r="M124" s="1471"/>
      <c r="N124" s="1471"/>
      <c r="O124" s="1471"/>
      <c r="P124" s="1472"/>
      <c r="S124" s="255"/>
      <c r="T124" s="267" t="s">
        <v>96</v>
      </c>
      <c r="U124" s="501">
        <f t="shared" si="170"/>
        <v>0</v>
      </c>
      <c r="V124" s="530">
        <f>E124*'5 Kalan alkukäsittely satamassa'!$E$16</f>
        <v>0</v>
      </c>
      <c r="W124" s="524">
        <f>F124*'5 Kalan alkukäsittely satamassa'!$E$16</f>
        <v>0</v>
      </c>
      <c r="X124" s="524">
        <f>G124*'5 Kalan alkukäsittely satamassa'!$E$16</f>
        <v>0</v>
      </c>
      <c r="Y124" s="524">
        <f>H124*'5 Kalan alkukäsittely satamassa'!$E$16</f>
        <v>0</v>
      </c>
      <c r="Z124" s="524">
        <f>I124*'5 Kalan alkukäsittely satamassa'!$E$16</f>
        <v>0</v>
      </c>
      <c r="AA124" s="524">
        <f>J124*'5 Kalan alkukäsittely satamassa'!$E$16</f>
        <v>0</v>
      </c>
      <c r="AB124" s="524">
        <f>K124*'5 Kalan alkukäsittely satamassa'!$E$16</f>
        <v>0</v>
      </c>
      <c r="AC124" s="524">
        <f>L124*'5 Kalan alkukäsittely satamassa'!$E$16</f>
        <v>0</v>
      </c>
      <c r="AD124" s="524">
        <f>M124*'5 Kalan alkukäsittely satamassa'!$E$16</f>
        <v>0</v>
      </c>
      <c r="AE124" s="524">
        <f>N124*'5 Kalan alkukäsittely satamassa'!$E$16</f>
        <v>0</v>
      </c>
      <c r="AF124" s="524">
        <f>O124*'5 Kalan alkukäsittely satamassa'!$E$16</f>
        <v>0</v>
      </c>
      <c r="AG124" s="525">
        <f>P124*'5 Kalan alkukäsittely satamassa'!$E$16</f>
        <v>0</v>
      </c>
      <c r="AI124" s="57"/>
      <c r="AJ124" s="59" t="s">
        <v>96</v>
      </c>
      <c r="AK124" s="576">
        <f t="shared" ref="AK124:AK132" si="173">IF(D124=0,0,BA124/D124)</f>
        <v>0</v>
      </c>
      <c r="AL124" s="1501">
        <v>8</v>
      </c>
      <c r="AM124" s="1502">
        <v>8</v>
      </c>
      <c r="AN124" s="1502">
        <v>8</v>
      </c>
      <c r="AO124" s="1502">
        <v>8</v>
      </c>
      <c r="AP124" s="1502">
        <v>8</v>
      </c>
      <c r="AQ124" s="1502">
        <v>8</v>
      </c>
      <c r="AR124" s="1502">
        <v>8</v>
      </c>
      <c r="AS124" s="1502">
        <v>8</v>
      </c>
      <c r="AT124" s="1502">
        <v>8</v>
      </c>
      <c r="AU124" s="1502">
        <v>8</v>
      </c>
      <c r="AV124" s="1502">
        <v>8</v>
      </c>
      <c r="AW124" s="1503">
        <v>8</v>
      </c>
      <c r="AY124" s="57"/>
      <c r="AZ124" s="59" t="s">
        <v>96</v>
      </c>
      <c r="BA124" s="504">
        <f>SUM(BB124:BM124)</f>
        <v>0</v>
      </c>
      <c r="BB124" s="530">
        <f t="shared" si="171"/>
        <v>0</v>
      </c>
      <c r="BC124" s="524">
        <f t="shared" si="169"/>
        <v>0</v>
      </c>
      <c r="BD124" s="524">
        <f t="shared" si="169"/>
        <v>0</v>
      </c>
      <c r="BE124" s="524">
        <f t="shared" si="169"/>
        <v>0</v>
      </c>
      <c r="BF124" s="524">
        <f t="shared" si="169"/>
        <v>0</v>
      </c>
      <c r="BG124" s="524">
        <f t="shared" si="169"/>
        <v>0</v>
      </c>
      <c r="BH124" s="524">
        <f t="shared" si="169"/>
        <v>0</v>
      </c>
      <c r="BI124" s="524">
        <f t="shared" si="169"/>
        <v>0</v>
      </c>
      <c r="BJ124" s="524">
        <f t="shared" si="169"/>
        <v>0</v>
      </c>
      <c r="BK124" s="524">
        <f t="shared" si="169"/>
        <v>0</v>
      </c>
      <c r="BL124" s="524">
        <f t="shared" si="169"/>
        <v>0</v>
      </c>
      <c r="BM124" s="525">
        <f t="shared" si="169"/>
        <v>0</v>
      </c>
      <c r="CK124" s="57" t="s">
        <v>101</v>
      </c>
      <c r="CL124" s="436">
        <f t="shared" si="172"/>
        <v>0</v>
      </c>
      <c r="CM124" s="437">
        <f>CM9*'3 Saalis'!CK121</f>
        <v>0</v>
      </c>
      <c r="CN124" s="438">
        <f>CN9*'3 Saalis'!CL121</f>
        <v>0</v>
      </c>
      <c r="CO124" s="438">
        <f>CO9*'3 Saalis'!CM121</f>
        <v>0</v>
      </c>
      <c r="CP124" s="438">
        <f>CP9*'3 Saalis'!CN121</f>
        <v>0</v>
      </c>
      <c r="CQ124" s="438">
        <f>CQ9*'3 Saalis'!CO121</f>
        <v>0</v>
      </c>
      <c r="CR124" s="438">
        <f>CR9*'3 Saalis'!CP121</f>
        <v>0</v>
      </c>
      <c r="CS124" s="438">
        <f>CS9*'3 Saalis'!CQ121</f>
        <v>0</v>
      </c>
      <c r="CT124" s="438">
        <f>CT9*'3 Saalis'!CR121</f>
        <v>0</v>
      </c>
      <c r="CU124" s="438">
        <f>CU9*'3 Saalis'!CS121</f>
        <v>0</v>
      </c>
      <c r="CV124" s="438">
        <f>CV9*'3 Saalis'!CT121</f>
        <v>0</v>
      </c>
      <c r="CW124" s="438">
        <f>CW9*'3 Saalis'!CU121</f>
        <v>0</v>
      </c>
      <c r="CX124" s="439">
        <f>CX9*'3 Saalis'!CV121</f>
        <v>0</v>
      </c>
    </row>
    <row r="125" spans="2:102" x14ac:dyDescent="0.2">
      <c r="B125" s="57"/>
      <c r="C125" s="59" t="s">
        <v>78</v>
      </c>
      <c r="D125" s="450">
        <f t="shared" si="167"/>
        <v>0</v>
      </c>
      <c r="E125" s="1486"/>
      <c r="F125" s="1471"/>
      <c r="G125" s="1471"/>
      <c r="H125" s="1471"/>
      <c r="I125" s="1471"/>
      <c r="J125" s="1471"/>
      <c r="K125" s="1471"/>
      <c r="L125" s="1471"/>
      <c r="M125" s="1471"/>
      <c r="N125" s="1471"/>
      <c r="O125" s="1471"/>
      <c r="P125" s="1472"/>
      <c r="S125" s="255"/>
      <c r="T125" s="267" t="s">
        <v>84</v>
      </c>
      <c r="U125" s="501">
        <f t="shared" si="170"/>
        <v>0</v>
      </c>
      <c r="V125" s="530">
        <f>E125*'5 Kalan alkukäsittely satamassa'!$F$16</f>
        <v>0</v>
      </c>
      <c r="W125" s="524">
        <f>F125*'5 Kalan alkukäsittely satamassa'!$F$16</f>
        <v>0</v>
      </c>
      <c r="X125" s="524">
        <f>G125*'5 Kalan alkukäsittely satamassa'!$F$16</f>
        <v>0</v>
      </c>
      <c r="Y125" s="524">
        <f>H125*'5 Kalan alkukäsittely satamassa'!$F$16</f>
        <v>0</v>
      </c>
      <c r="Z125" s="524">
        <f>I125*'5 Kalan alkukäsittely satamassa'!$F$16</f>
        <v>0</v>
      </c>
      <c r="AA125" s="524">
        <f>J125*'5 Kalan alkukäsittely satamassa'!$F$16</f>
        <v>0</v>
      </c>
      <c r="AB125" s="524">
        <f>K125*'5 Kalan alkukäsittely satamassa'!$F$16</f>
        <v>0</v>
      </c>
      <c r="AC125" s="524">
        <f>L125*'5 Kalan alkukäsittely satamassa'!$F$16</f>
        <v>0</v>
      </c>
      <c r="AD125" s="524">
        <f>M125*'5 Kalan alkukäsittely satamassa'!$F$16</f>
        <v>0</v>
      </c>
      <c r="AE125" s="524">
        <f>N125*'5 Kalan alkukäsittely satamassa'!$F$16</f>
        <v>0</v>
      </c>
      <c r="AF125" s="524">
        <f>O125*'5 Kalan alkukäsittely satamassa'!$F$16</f>
        <v>0</v>
      </c>
      <c r="AG125" s="525">
        <f>P125*'5 Kalan alkukäsittely satamassa'!$F$16</f>
        <v>0</v>
      </c>
      <c r="AI125" s="57"/>
      <c r="AJ125" s="59" t="s">
        <v>84</v>
      </c>
      <c r="AK125" s="576">
        <f t="shared" si="173"/>
        <v>0</v>
      </c>
      <c r="AL125" s="1501">
        <v>15</v>
      </c>
      <c r="AM125" s="1502">
        <v>15</v>
      </c>
      <c r="AN125" s="1502">
        <v>15</v>
      </c>
      <c r="AO125" s="1502">
        <v>15</v>
      </c>
      <c r="AP125" s="1502">
        <v>15</v>
      </c>
      <c r="AQ125" s="1502">
        <v>15</v>
      </c>
      <c r="AR125" s="1502">
        <v>15</v>
      </c>
      <c r="AS125" s="1502">
        <v>15</v>
      </c>
      <c r="AT125" s="1502">
        <v>15</v>
      </c>
      <c r="AU125" s="1502">
        <v>15</v>
      </c>
      <c r="AV125" s="1502">
        <v>15</v>
      </c>
      <c r="AW125" s="1503">
        <v>15</v>
      </c>
      <c r="AY125" s="57"/>
      <c r="AZ125" s="59" t="s">
        <v>84</v>
      </c>
      <c r="BA125" s="504">
        <f t="shared" ref="BA125:BA130" si="174">SUM(BB125:BM125)</f>
        <v>0</v>
      </c>
      <c r="BB125" s="530">
        <f t="shared" si="171"/>
        <v>0</v>
      </c>
      <c r="BC125" s="524">
        <f t="shared" si="169"/>
        <v>0</v>
      </c>
      <c r="BD125" s="524">
        <f t="shared" si="169"/>
        <v>0</v>
      </c>
      <c r="BE125" s="524">
        <f t="shared" si="169"/>
        <v>0</v>
      </c>
      <c r="BF125" s="524">
        <f t="shared" si="169"/>
        <v>0</v>
      </c>
      <c r="BG125" s="524">
        <f t="shared" si="169"/>
        <v>0</v>
      </c>
      <c r="BH125" s="524">
        <f t="shared" si="169"/>
        <v>0</v>
      </c>
      <c r="BI125" s="524">
        <f t="shared" si="169"/>
        <v>0</v>
      </c>
      <c r="BJ125" s="524">
        <f t="shared" si="169"/>
        <v>0</v>
      </c>
      <c r="BK125" s="524">
        <f t="shared" si="169"/>
        <v>0</v>
      </c>
      <c r="BL125" s="524">
        <f t="shared" si="169"/>
        <v>0</v>
      </c>
      <c r="BM125" s="525">
        <f t="shared" si="169"/>
        <v>0</v>
      </c>
      <c r="CK125" s="57" t="s">
        <v>102</v>
      </c>
      <c r="CL125" s="436">
        <f t="shared" si="172"/>
        <v>0</v>
      </c>
      <c r="CM125" s="437">
        <f>CM10*'3 Saalis'!CK122</f>
        <v>0</v>
      </c>
      <c r="CN125" s="438">
        <f>CN10*'3 Saalis'!CL122</f>
        <v>0</v>
      </c>
      <c r="CO125" s="438">
        <f>CO10*'3 Saalis'!CM122</f>
        <v>0</v>
      </c>
      <c r="CP125" s="438">
        <f>CP10*'3 Saalis'!CN122</f>
        <v>0</v>
      </c>
      <c r="CQ125" s="438">
        <f>CQ10*'3 Saalis'!CO122</f>
        <v>0</v>
      </c>
      <c r="CR125" s="438">
        <f>CR10*'3 Saalis'!CP122</f>
        <v>0</v>
      </c>
      <c r="CS125" s="438">
        <f>CS10*'3 Saalis'!CQ122</f>
        <v>0</v>
      </c>
      <c r="CT125" s="438">
        <f>CT10*'3 Saalis'!CR122</f>
        <v>0</v>
      </c>
      <c r="CU125" s="438">
        <f>CU10*'3 Saalis'!CS122</f>
        <v>0</v>
      </c>
      <c r="CV125" s="438">
        <f>CV10*'3 Saalis'!CT122</f>
        <v>0</v>
      </c>
      <c r="CW125" s="438">
        <f>CW10*'3 Saalis'!CU122</f>
        <v>0</v>
      </c>
      <c r="CX125" s="439">
        <f>CX10*'3 Saalis'!CV122</f>
        <v>0</v>
      </c>
    </row>
    <row r="126" spans="2:102" ht="13.5" thickBot="1" x14ac:dyDescent="0.25">
      <c r="B126" s="40"/>
      <c r="C126" s="56" t="s">
        <v>91</v>
      </c>
      <c r="D126" s="451">
        <f t="shared" si="167"/>
        <v>0</v>
      </c>
      <c r="E126" s="1490"/>
      <c r="F126" s="1491"/>
      <c r="G126" s="1491"/>
      <c r="H126" s="1491"/>
      <c r="I126" s="1491"/>
      <c r="J126" s="1491"/>
      <c r="K126" s="1491"/>
      <c r="L126" s="1491"/>
      <c r="M126" s="1491"/>
      <c r="N126" s="1491"/>
      <c r="O126" s="1491"/>
      <c r="P126" s="1492"/>
      <c r="S126" s="258"/>
      <c r="T126" s="263" t="s">
        <v>91</v>
      </c>
      <c r="U126" s="540">
        <f t="shared" si="170"/>
        <v>0</v>
      </c>
      <c r="V126" s="541">
        <f t="shared" ref="V126:AG127" si="175">E126</f>
        <v>0</v>
      </c>
      <c r="W126" s="542">
        <f t="shared" si="175"/>
        <v>0</v>
      </c>
      <c r="X126" s="542">
        <f t="shared" si="175"/>
        <v>0</v>
      </c>
      <c r="Y126" s="542">
        <f t="shared" si="175"/>
        <v>0</v>
      </c>
      <c r="Z126" s="542">
        <f t="shared" si="175"/>
        <v>0</v>
      </c>
      <c r="AA126" s="542">
        <f t="shared" si="175"/>
        <v>0</v>
      </c>
      <c r="AB126" s="542">
        <f t="shared" si="175"/>
        <v>0</v>
      </c>
      <c r="AC126" s="542">
        <f t="shared" si="175"/>
        <v>0</v>
      </c>
      <c r="AD126" s="542">
        <f t="shared" si="175"/>
        <v>0</v>
      </c>
      <c r="AE126" s="542">
        <f t="shared" si="175"/>
        <v>0</v>
      </c>
      <c r="AF126" s="542">
        <f t="shared" si="175"/>
        <v>0</v>
      </c>
      <c r="AG126" s="543">
        <f t="shared" si="175"/>
        <v>0</v>
      </c>
      <c r="AI126" s="57"/>
      <c r="AJ126" s="59" t="s">
        <v>91</v>
      </c>
      <c r="AK126" s="577">
        <f t="shared" si="173"/>
        <v>0</v>
      </c>
      <c r="AL126" s="1504">
        <v>30</v>
      </c>
      <c r="AM126" s="1505">
        <v>30</v>
      </c>
      <c r="AN126" s="1505">
        <v>30</v>
      </c>
      <c r="AO126" s="1505">
        <v>30</v>
      </c>
      <c r="AP126" s="1505">
        <v>30</v>
      </c>
      <c r="AQ126" s="1505">
        <v>30</v>
      </c>
      <c r="AR126" s="1505">
        <v>30</v>
      </c>
      <c r="AS126" s="1505">
        <v>30</v>
      </c>
      <c r="AT126" s="1505">
        <v>30</v>
      </c>
      <c r="AU126" s="1505">
        <v>30</v>
      </c>
      <c r="AV126" s="1505">
        <v>30</v>
      </c>
      <c r="AW126" s="1506">
        <v>30</v>
      </c>
      <c r="AY126" s="40"/>
      <c r="AZ126" s="56"/>
      <c r="BA126" s="596">
        <f t="shared" si="174"/>
        <v>0</v>
      </c>
      <c r="BB126" s="515">
        <f t="shared" si="171"/>
        <v>0</v>
      </c>
      <c r="BC126" s="531">
        <f t="shared" si="169"/>
        <v>0</v>
      </c>
      <c r="BD126" s="531">
        <f t="shared" si="169"/>
        <v>0</v>
      </c>
      <c r="BE126" s="531">
        <f t="shared" si="169"/>
        <v>0</v>
      </c>
      <c r="BF126" s="531">
        <f t="shared" si="169"/>
        <v>0</v>
      </c>
      <c r="BG126" s="531">
        <f t="shared" si="169"/>
        <v>0</v>
      </c>
      <c r="BH126" s="531">
        <f t="shared" si="169"/>
        <v>0</v>
      </c>
      <c r="BI126" s="531">
        <f t="shared" si="169"/>
        <v>0</v>
      </c>
      <c r="BJ126" s="531">
        <f t="shared" si="169"/>
        <v>0</v>
      </c>
      <c r="BK126" s="531">
        <f t="shared" si="169"/>
        <v>0</v>
      </c>
      <c r="BL126" s="531">
        <f t="shared" si="169"/>
        <v>0</v>
      </c>
      <c r="BM126" s="532">
        <f t="shared" si="169"/>
        <v>0</v>
      </c>
      <c r="CK126" s="57" t="s">
        <v>103</v>
      </c>
      <c r="CL126" s="436">
        <f t="shared" si="172"/>
        <v>0</v>
      </c>
      <c r="CM126" s="437">
        <f>CM11*'3 Saalis'!CK123</f>
        <v>0</v>
      </c>
      <c r="CN126" s="438">
        <f>CN11*'3 Saalis'!CL123</f>
        <v>0</v>
      </c>
      <c r="CO126" s="438">
        <f>CO11*'3 Saalis'!CM123</f>
        <v>0</v>
      </c>
      <c r="CP126" s="438">
        <f>CP11*'3 Saalis'!CN123</f>
        <v>0</v>
      </c>
      <c r="CQ126" s="438">
        <f>CQ11*'3 Saalis'!CO123</f>
        <v>0</v>
      </c>
      <c r="CR126" s="438">
        <f>CR11*'3 Saalis'!CP123</f>
        <v>0</v>
      </c>
      <c r="CS126" s="438">
        <f>CS11*'3 Saalis'!CQ123</f>
        <v>0</v>
      </c>
      <c r="CT126" s="438">
        <f>CT11*'3 Saalis'!CR123</f>
        <v>0</v>
      </c>
      <c r="CU126" s="438">
        <f>CU11*'3 Saalis'!CS123</f>
        <v>0</v>
      </c>
      <c r="CV126" s="438">
        <f>CV11*'3 Saalis'!CT123</f>
        <v>0</v>
      </c>
      <c r="CW126" s="438">
        <f>CW11*'3 Saalis'!CU123</f>
        <v>0</v>
      </c>
      <c r="CX126" s="439">
        <f>CX11*'3 Saalis'!CV123</f>
        <v>0</v>
      </c>
    </row>
    <row r="127" spans="2:102" x14ac:dyDescent="0.2">
      <c r="B127" s="57" t="s">
        <v>79</v>
      </c>
      <c r="C127" s="59" t="s">
        <v>82</v>
      </c>
      <c r="D127" s="458">
        <f t="shared" si="167"/>
        <v>0</v>
      </c>
      <c r="E127" s="1487"/>
      <c r="F127" s="1488"/>
      <c r="G127" s="1488"/>
      <c r="H127" s="1488"/>
      <c r="I127" s="1488"/>
      <c r="J127" s="1488"/>
      <c r="K127" s="1488"/>
      <c r="L127" s="1488"/>
      <c r="M127" s="1488"/>
      <c r="N127" s="1488"/>
      <c r="O127" s="1488"/>
      <c r="P127" s="1489"/>
      <c r="S127" s="255" t="s">
        <v>79</v>
      </c>
      <c r="T127" s="256" t="s">
        <v>82</v>
      </c>
      <c r="U127" s="544">
        <f t="shared" si="170"/>
        <v>0</v>
      </c>
      <c r="V127" s="519">
        <f t="shared" si="175"/>
        <v>0</v>
      </c>
      <c r="W127" s="500">
        <f t="shared" si="175"/>
        <v>0</v>
      </c>
      <c r="X127" s="500">
        <f t="shared" si="175"/>
        <v>0</v>
      </c>
      <c r="Y127" s="500">
        <f t="shared" si="175"/>
        <v>0</v>
      </c>
      <c r="Z127" s="500">
        <f t="shared" si="175"/>
        <v>0</v>
      </c>
      <c r="AA127" s="500">
        <f t="shared" si="175"/>
        <v>0</v>
      </c>
      <c r="AB127" s="500">
        <f t="shared" si="175"/>
        <v>0</v>
      </c>
      <c r="AC127" s="500">
        <f t="shared" si="175"/>
        <v>0</v>
      </c>
      <c r="AD127" s="500">
        <f t="shared" si="175"/>
        <v>0</v>
      </c>
      <c r="AE127" s="500">
        <f t="shared" si="175"/>
        <v>0</v>
      </c>
      <c r="AF127" s="500">
        <f t="shared" si="175"/>
        <v>0</v>
      </c>
      <c r="AG127" s="529">
        <f t="shared" si="175"/>
        <v>0</v>
      </c>
      <c r="AI127" s="5" t="s">
        <v>79</v>
      </c>
      <c r="AJ127" s="36" t="s">
        <v>82</v>
      </c>
      <c r="AK127" s="584">
        <f t="shared" si="173"/>
        <v>0</v>
      </c>
      <c r="AL127" s="1519">
        <v>4.8099999999999996</v>
      </c>
      <c r="AM127" s="1507">
        <v>4.7699999999999996</v>
      </c>
      <c r="AN127" s="1507">
        <v>4.53</v>
      </c>
      <c r="AO127" s="1507">
        <v>3.02</v>
      </c>
      <c r="AP127" s="1507">
        <v>0</v>
      </c>
      <c r="AQ127" s="1507">
        <v>0</v>
      </c>
      <c r="AR127" s="1507">
        <v>0</v>
      </c>
      <c r="AS127" s="1507">
        <v>0</v>
      </c>
      <c r="AT127" s="1507">
        <v>0</v>
      </c>
      <c r="AU127" s="1507">
        <v>2.19</v>
      </c>
      <c r="AV127" s="1507">
        <v>1.65</v>
      </c>
      <c r="AW127" s="1500">
        <v>6.48</v>
      </c>
      <c r="AY127" s="5" t="s">
        <v>79</v>
      </c>
      <c r="AZ127" s="36" t="s">
        <v>82</v>
      </c>
      <c r="BA127" s="595">
        <f t="shared" si="174"/>
        <v>0</v>
      </c>
      <c r="BB127" s="519">
        <f t="shared" si="171"/>
        <v>0</v>
      </c>
      <c r="BC127" s="500">
        <f t="shared" si="169"/>
        <v>0</v>
      </c>
      <c r="BD127" s="500">
        <f t="shared" si="169"/>
        <v>0</v>
      </c>
      <c r="BE127" s="500">
        <f t="shared" si="169"/>
        <v>0</v>
      </c>
      <c r="BF127" s="500">
        <f t="shared" si="169"/>
        <v>0</v>
      </c>
      <c r="BG127" s="500">
        <f t="shared" si="169"/>
        <v>0</v>
      </c>
      <c r="BH127" s="500">
        <f t="shared" si="169"/>
        <v>0</v>
      </c>
      <c r="BI127" s="500">
        <f t="shared" si="169"/>
        <v>0</v>
      </c>
      <c r="BJ127" s="500">
        <f t="shared" si="169"/>
        <v>0</v>
      </c>
      <c r="BK127" s="500">
        <f t="shared" si="169"/>
        <v>0</v>
      </c>
      <c r="BL127" s="500">
        <f t="shared" si="169"/>
        <v>0</v>
      </c>
      <c r="BM127" s="529">
        <f t="shared" si="169"/>
        <v>0</v>
      </c>
      <c r="CK127" s="57" t="s">
        <v>104</v>
      </c>
      <c r="CL127" s="436">
        <f t="shared" si="172"/>
        <v>0</v>
      </c>
      <c r="CM127" s="437">
        <f>CM12*'3 Saalis'!CK124</f>
        <v>0</v>
      </c>
      <c r="CN127" s="438">
        <f>CN12*'3 Saalis'!CL124</f>
        <v>0</v>
      </c>
      <c r="CO127" s="438">
        <f>CO12*'3 Saalis'!CM124</f>
        <v>0</v>
      </c>
      <c r="CP127" s="438">
        <f>CP12*'3 Saalis'!CN124</f>
        <v>0</v>
      </c>
      <c r="CQ127" s="438">
        <f>CQ12*'3 Saalis'!CO124</f>
        <v>0</v>
      </c>
      <c r="CR127" s="438">
        <f>CR12*'3 Saalis'!CP124</f>
        <v>0</v>
      </c>
      <c r="CS127" s="438">
        <f>CS12*'3 Saalis'!CQ124</f>
        <v>0</v>
      </c>
      <c r="CT127" s="438">
        <f>CT12*'3 Saalis'!CR124</f>
        <v>0</v>
      </c>
      <c r="CU127" s="438">
        <f>CU12*'3 Saalis'!CS124</f>
        <v>0</v>
      </c>
      <c r="CV127" s="438">
        <f>CV12*'3 Saalis'!CT124</f>
        <v>0</v>
      </c>
      <c r="CW127" s="438">
        <f>CW12*'3 Saalis'!CU124</f>
        <v>0</v>
      </c>
      <c r="CX127" s="439">
        <f>CX12*'3 Saalis'!CV124</f>
        <v>0</v>
      </c>
    </row>
    <row r="128" spans="2:102" x14ac:dyDescent="0.2">
      <c r="B128" s="57" t="s">
        <v>1</v>
      </c>
      <c r="C128" s="59" t="s">
        <v>77</v>
      </c>
      <c r="D128" s="504">
        <f t="shared" si="167"/>
        <v>0</v>
      </c>
      <c r="E128" s="1486"/>
      <c r="F128" s="1471"/>
      <c r="G128" s="1471"/>
      <c r="H128" s="1471"/>
      <c r="I128" s="1471"/>
      <c r="J128" s="1471"/>
      <c r="K128" s="1471"/>
      <c r="L128" s="1471"/>
      <c r="M128" s="1471"/>
      <c r="N128" s="1471"/>
      <c r="O128" s="1471"/>
      <c r="P128" s="1472"/>
      <c r="S128" s="255" t="s">
        <v>1</v>
      </c>
      <c r="T128" s="256" t="s">
        <v>83</v>
      </c>
      <c r="U128" s="501">
        <f t="shared" si="170"/>
        <v>0</v>
      </c>
      <c r="V128" s="530">
        <f>E128*'5 Kalan alkukäsittely satamassa'!$D$16</f>
        <v>0</v>
      </c>
      <c r="W128" s="524">
        <f>F128*'5 Kalan alkukäsittely satamassa'!$D$16</f>
        <v>0</v>
      </c>
      <c r="X128" s="524">
        <f>G128*'5 Kalan alkukäsittely satamassa'!$D$16</f>
        <v>0</v>
      </c>
      <c r="Y128" s="524">
        <f>H128*'5 Kalan alkukäsittely satamassa'!$D$16</f>
        <v>0</v>
      </c>
      <c r="Z128" s="524">
        <f>I128*'5 Kalan alkukäsittely satamassa'!$D$16</f>
        <v>0</v>
      </c>
      <c r="AA128" s="524">
        <f>J128*'5 Kalan alkukäsittely satamassa'!$D$16</f>
        <v>0</v>
      </c>
      <c r="AB128" s="524">
        <f>K128*'5 Kalan alkukäsittely satamassa'!$D$16</f>
        <v>0</v>
      </c>
      <c r="AC128" s="524">
        <f>L128*'5 Kalan alkukäsittely satamassa'!$D$16</f>
        <v>0</v>
      </c>
      <c r="AD128" s="524">
        <f>M128*'5 Kalan alkukäsittely satamassa'!$D$16</f>
        <v>0</v>
      </c>
      <c r="AE128" s="524">
        <f>N128*'5 Kalan alkukäsittely satamassa'!$D$16</f>
        <v>0</v>
      </c>
      <c r="AF128" s="524">
        <f>O128*'5 Kalan alkukäsittely satamassa'!$D$16</f>
        <v>0</v>
      </c>
      <c r="AG128" s="525">
        <f>P128*'5 Kalan alkukäsittely satamassa'!$D$16</f>
        <v>0</v>
      </c>
      <c r="AI128" s="57" t="s">
        <v>1</v>
      </c>
      <c r="AJ128" s="59" t="s">
        <v>83</v>
      </c>
      <c r="AK128" s="590">
        <f t="shared" si="173"/>
        <v>0</v>
      </c>
      <c r="AL128" s="1501">
        <v>5</v>
      </c>
      <c r="AM128" s="1502">
        <v>5</v>
      </c>
      <c r="AN128" s="1502">
        <v>5</v>
      </c>
      <c r="AO128" s="1502">
        <v>5</v>
      </c>
      <c r="AP128" s="1502">
        <v>5</v>
      </c>
      <c r="AQ128" s="1502">
        <v>5</v>
      </c>
      <c r="AR128" s="1502">
        <v>5</v>
      </c>
      <c r="AS128" s="1502">
        <v>5</v>
      </c>
      <c r="AT128" s="1502">
        <v>5</v>
      </c>
      <c r="AU128" s="1502">
        <v>5</v>
      </c>
      <c r="AV128" s="1502">
        <v>5</v>
      </c>
      <c r="AW128" s="1503">
        <v>3</v>
      </c>
      <c r="AY128" s="57" t="s">
        <v>1</v>
      </c>
      <c r="AZ128" s="59" t="s">
        <v>83</v>
      </c>
      <c r="BA128" s="504">
        <f t="shared" si="174"/>
        <v>0</v>
      </c>
      <c r="BB128" s="530">
        <f t="shared" si="171"/>
        <v>0</v>
      </c>
      <c r="BC128" s="524">
        <f t="shared" si="169"/>
        <v>0</v>
      </c>
      <c r="BD128" s="524">
        <f t="shared" si="169"/>
        <v>0</v>
      </c>
      <c r="BE128" s="524">
        <f t="shared" si="169"/>
        <v>0</v>
      </c>
      <c r="BF128" s="524">
        <f t="shared" si="169"/>
        <v>0</v>
      </c>
      <c r="BG128" s="524">
        <f t="shared" si="169"/>
        <v>0</v>
      </c>
      <c r="BH128" s="524">
        <f t="shared" si="169"/>
        <v>0</v>
      </c>
      <c r="BI128" s="524">
        <f t="shared" si="169"/>
        <v>0</v>
      </c>
      <c r="BJ128" s="524">
        <f t="shared" si="169"/>
        <v>0</v>
      </c>
      <c r="BK128" s="524">
        <f t="shared" si="169"/>
        <v>0</v>
      </c>
      <c r="BL128" s="524">
        <f t="shared" si="169"/>
        <v>0</v>
      </c>
      <c r="BM128" s="525">
        <f t="shared" si="169"/>
        <v>0</v>
      </c>
      <c r="CK128" s="57" t="s">
        <v>105</v>
      </c>
      <c r="CL128" s="436">
        <f t="shared" si="172"/>
        <v>0</v>
      </c>
      <c r="CM128" s="437">
        <f>CM13*'3 Saalis'!CK125</f>
        <v>0</v>
      </c>
      <c r="CN128" s="438">
        <f>CN13*'3 Saalis'!CL125</f>
        <v>0</v>
      </c>
      <c r="CO128" s="438">
        <f>CO13*'3 Saalis'!CM125</f>
        <v>0</v>
      </c>
      <c r="CP128" s="438">
        <f>CP13*'3 Saalis'!CN125</f>
        <v>0</v>
      </c>
      <c r="CQ128" s="438">
        <f>CQ13*'3 Saalis'!CO125</f>
        <v>0</v>
      </c>
      <c r="CR128" s="438">
        <f>CR13*'3 Saalis'!CP125</f>
        <v>0</v>
      </c>
      <c r="CS128" s="438">
        <f>CS13*'3 Saalis'!CQ125</f>
        <v>0</v>
      </c>
      <c r="CT128" s="438">
        <f>CT13*'3 Saalis'!CR125</f>
        <v>0</v>
      </c>
      <c r="CU128" s="438">
        <f>CU13*'3 Saalis'!CS125</f>
        <v>0</v>
      </c>
      <c r="CV128" s="438">
        <f>CV13*'3 Saalis'!CT125</f>
        <v>0</v>
      </c>
      <c r="CW128" s="438">
        <f>CW13*'3 Saalis'!CU125</f>
        <v>0</v>
      </c>
      <c r="CX128" s="439">
        <f>CX13*'3 Saalis'!CV125</f>
        <v>0</v>
      </c>
    </row>
    <row r="129" spans="2:102" x14ac:dyDescent="0.2">
      <c r="B129" s="57"/>
      <c r="C129" s="59" t="s">
        <v>96</v>
      </c>
      <c r="D129" s="504">
        <f t="shared" si="167"/>
        <v>0</v>
      </c>
      <c r="E129" s="1495"/>
      <c r="F129" s="1474"/>
      <c r="G129" s="1474"/>
      <c r="H129" s="1474"/>
      <c r="I129" s="1474"/>
      <c r="J129" s="1474"/>
      <c r="K129" s="1474"/>
      <c r="L129" s="1474"/>
      <c r="M129" s="1474"/>
      <c r="N129" s="1474"/>
      <c r="O129" s="1474"/>
      <c r="P129" s="1475"/>
      <c r="S129" s="255"/>
      <c r="T129" s="256" t="s">
        <v>96</v>
      </c>
      <c r="U129" s="501">
        <f t="shared" si="170"/>
        <v>0</v>
      </c>
      <c r="V129" s="530">
        <f>E129*'5 Kalan alkukäsittely satamassa'!$E$16</f>
        <v>0</v>
      </c>
      <c r="W129" s="524">
        <f>F129*'5 Kalan alkukäsittely satamassa'!$E$16</f>
        <v>0</v>
      </c>
      <c r="X129" s="524">
        <f>G129*'5 Kalan alkukäsittely satamassa'!$E$16</f>
        <v>0</v>
      </c>
      <c r="Y129" s="524">
        <f>H129*'5 Kalan alkukäsittely satamassa'!$E$16</f>
        <v>0</v>
      </c>
      <c r="Z129" s="524">
        <f>I129*'5 Kalan alkukäsittely satamassa'!$E$16</f>
        <v>0</v>
      </c>
      <c r="AA129" s="524">
        <f>J129*'5 Kalan alkukäsittely satamassa'!$E$16</f>
        <v>0</v>
      </c>
      <c r="AB129" s="524">
        <f>K129*'5 Kalan alkukäsittely satamassa'!$E$16</f>
        <v>0</v>
      </c>
      <c r="AC129" s="524">
        <f>L129*'5 Kalan alkukäsittely satamassa'!$E$16</f>
        <v>0</v>
      </c>
      <c r="AD129" s="524">
        <f>M129*'5 Kalan alkukäsittely satamassa'!$E$16</f>
        <v>0</v>
      </c>
      <c r="AE129" s="524">
        <f>N129*'5 Kalan alkukäsittely satamassa'!$E$16</f>
        <v>0</v>
      </c>
      <c r="AF129" s="524">
        <f>O129*'5 Kalan alkukäsittely satamassa'!$E$16</f>
        <v>0</v>
      </c>
      <c r="AG129" s="525">
        <f>P129*'5 Kalan alkukäsittely satamassa'!$E$16</f>
        <v>0</v>
      </c>
      <c r="AI129" s="57"/>
      <c r="AJ129" s="59" t="s">
        <v>96</v>
      </c>
      <c r="AK129" s="590">
        <f t="shared" si="173"/>
        <v>0</v>
      </c>
      <c r="AL129" s="1508">
        <v>10</v>
      </c>
      <c r="AM129" s="1509">
        <v>10</v>
      </c>
      <c r="AN129" s="1509">
        <v>10</v>
      </c>
      <c r="AO129" s="1509">
        <v>10</v>
      </c>
      <c r="AP129" s="1509">
        <v>10</v>
      </c>
      <c r="AQ129" s="1509">
        <v>10</v>
      </c>
      <c r="AR129" s="1509">
        <v>10</v>
      </c>
      <c r="AS129" s="1509">
        <v>10</v>
      </c>
      <c r="AT129" s="1509">
        <v>10</v>
      </c>
      <c r="AU129" s="1509">
        <v>10</v>
      </c>
      <c r="AV129" s="1509">
        <v>10</v>
      </c>
      <c r="AW129" s="1510">
        <v>10</v>
      </c>
      <c r="AY129" s="57"/>
      <c r="AZ129" s="59" t="s">
        <v>96</v>
      </c>
      <c r="BA129" s="458">
        <f t="shared" si="174"/>
        <v>0</v>
      </c>
      <c r="BB129" s="530">
        <f t="shared" si="171"/>
        <v>0</v>
      </c>
      <c r="BC129" s="524">
        <f t="shared" si="169"/>
        <v>0</v>
      </c>
      <c r="BD129" s="524">
        <f t="shared" si="169"/>
        <v>0</v>
      </c>
      <c r="BE129" s="524">
        <f t="shared" si="169"/>
        <v>0</v>
      </c>
      <c r="BF129" s="524">
        <f t="shared" si="169"/>
        <v>0</v>
      </c>
      <c r="BG129" s="524">
        <f t="shared" si="169"/>
        <v>0</v>
      </c>
      <c r="BH129" s="524">
        <f t="shared" si="169"/>
        <v>0</v>
      </c>
      <c r="BI129" s="524">
        <f t="shared" si="169"/>
        <v>0</v>
      </c>
      <c r="BJ129" s="524">
        <f t="shared" si="169"/>
        <v>0</v>
      </c>
      <c r="BK129" s="524">
        <f t="shared" si="169"/>
        <v>0</v>
      </c>
      <c r="BL129" s="524">
        <f t="shared" si="169"/>
        <v>0</v>
      </c>
      <c r="BM129" s="525">
        <f t="shared" si="169"/>
        <v>0</v>
      </c>
      <c r="CK129" s="57" t="s">
        <v>106</v>
      </c>
      <c r="CL129" s="436">
        <f t="shared" si="172"/>
        <v>0</v>
      </c>
      <c r="CM129" s="437">
        <f>CM14*'3 Saalis'!CK126</f>
        <v>0</v>
      </c>
      <c r="CN129" s="438">
        <f>CN14*'3 Saalis'!CL126</f>
        <v>0</v>
      </c>
      <c r="CO129" s="438">
        <f>CO14*'3 Saalis'!CM126</f>
        <v>0</v>
      </c>
      <c r="CP129" s="438">
        <f>CP14*'3 Saalis'!CN126</f>
        <v>0</v>
      </c>
      <c r="CQ129" s="438">
        <f>CQ14*'3 Saalis'!CO126</f>
        <v>0</v>
      </c>
      <c r="CR129" s="438">
        <f>CR14*'3 Saalis'!CP126</f>
        <v>0</v>
      </c>
      <c r="CS129" s="438">
        <f>CS14*'3 Saalis'!CQ126</f>
        <v>0</v>
      </c>
      <c r="CT129" s="438">
        <f>CT14*'3 Saalis'!CR126</f>
        <v>0</v>
      </c>
      <c r="CU129" s="438">
        <f>CU14*'3 Saalis'!CS126</f>
        <v>0</v>
      </c>
      <c r="CV129" s="438">
        <f>CV14*'3 Saalis'!CT126</f>
        <v>0</v>
      </c>
      <c r="CW129" s="438">
        <f>CW14*'3 Saalis'!CU126</f>
        <v>0</v>
      </c>
      <c r="CX129" s="439">
        <f>CX14*'3 Saalis'!CV126</f>
        <v>0</v>
      </c>
    </row>
    <row r="130" spans="2:102" x14ac:dyDescent="0.2">
      <c r="B130" s="57"/>
      <c r="C130" s="59" t="s">
        <v>78</v>
      </c>
      <c r="D130" s="458">
        <f t="shared" si="167"/>
        <v>0</v>
      </c>
      <c r="E130" s="1495"/>
      <c r="F130" s="1474"/>
      <c r="G130" s="1474"/>
      <c r="H130" s="1474"/>
      <c r="I130" s="1474"/>
      <c r="J130" s="1474"/>
      <c r="K130" s="1474"/>
      <c r="L130" s="1474"/>
      <c r="M130" s="1474"/>
      <c r="N130" s="1474"/>
      <c r="O130" s="1474"/>
      <c r="P130" s="1475"/>
      <c r="S130" s="255"/>
      <c r="T130" s="256" t="s">
        <v>84</v>
      </c>
      <c r="U130" s="452">
        <f t="shared" si="170"/>
        <v>0</v>
      </c>
      <c r="V130" s="530">
        <f>E130*'5 Kalan alkukäsittely satamassa'!$F$16</f>
        <v>0</v>
      </c>
      <c r="W130" s="524">
        <f>F130*'5 Kalan alkukäsittely satamassa'!$F$16</f>
        <v>0</v>
      </c>
      <c r="X130" s="524">
        <f>G130*'5 Kalan alkukäsittely satamassa'!$F$16</f>
        <v>0</v>
      </c>
      <c r="Y130" s="524">
        <f>H130*'5 Kalan alkukäsittely satamassa'!$F$16</f>
        <v>0</v>
      </c>
      <c r="Z130" s="524">
        <f>I130*'5 Kalan alkukäsittely satamassa'!$F$16</f>
        <v>0</v>
      </c>
      <c r="AA130" s="524">
        <f>J130*'5 Kalan alkukäsittely satamassa'!$F$16</f>
        <v>0</v>
      </c>
      <c r="AB130" s="524">
        <f>K130*'5 Kalan alkukäsittely satamassa'!$F$16</f>
        <v>0</v>
      </c>
      <c r="AC130" s="524">
        <f>L130*'5 Kalan alkukäsittely satamassa'!$F$16</f>
        <v>0</v>
      </c>
      <c r="AD130" s="524">
        <f>M130*'5 Kalan alkukäsittely satamassa'!$F$16</f>
        <v>0</v>
      </c>
      <c r="AE130" s="524">
        <f>N130*'5 Kalan alkukäsittely satamassa'!$F$16</f>
        <v>0</v>
      </c>
      <c r="AF130" s="524">
        <f>O130*'5 Kalan alkukäsittely satamassa'!$F$16</f>
        <v>0</v>
      </c>
      <c r="AG130" s="525">
        <f>P130*'5 Kalan alkukäsittely satamassa'!$F$16</f>
        <v>0</v>
      </c>
      <c r="AI130" s="57"/>
      <c r="AJ130" s="59" t="s">
        <v>84</v>
      </c>
      <c r="AK130" s="590">
        <f t="shared" si="173"/>
        <v>0</v>
      </c>
      <c r="AL130" s="1508">
        <v>20</v>
      </c>
      <c r="AM130" s="1509">
        <v>20</v>
      </c>
      <c r="AN130" s="1509">
        <v>20</v>
      </c>
      <c r="AO130" s="1509">
        <v>20</v>
      </c>
      <c r="AP130" s="1509">
        <v>20</v>
      </c>
      <c r="AQ130" s="1509">
        <v>20</v>
      </c>
      <c r="AR130" s="1509">
        <v>20</v>
      </c>
      <c r="AS130" s="1509">
        <v>20</v>
      </c>
      <c r="AT130" s="1509">
        <v>20</v>
      </c>
      <c r="AU130" s="1509">
        <v>20</v>
      </c>
      <c r="AV130" s="1509">
        <v>20</v>
      </c>
      <c r="AW130" s="1510">
        <v>20</v>
      </c>
      <c r="AY130" s="57"/>
      <c r="AZ130" s="59" t="s">
        <v>84</v>
      </c>
      <c r="BA130" s="458">
        <f t="shared" si="174"/>
        <v>0</v>
      </c>
      <c r="BB130" s="530">
        <f t="shared" si="171"/>
        <v>0</v>
      </c>
      <c r="BC130" s="524">
        <f t="shared" si="169"/>
        <v>0</v>
      </c>
      <c r="BD130" s="524">
        <f t="shared" si="169"/>
        <v>0</v>
      </c>
      <c r="BE130" s="524">
        <f t="shared" si="169"/>
        <v>0</v>
      </c>
      <c r="BF130" s="524">
        <f t="shared" si="169"/>
        <v>0</v>
      </c>
      <c r="BG130" s="524">
        <f t="shared" si="169"/>
        <v>0</v>
      </c>
      <c r="BH130" s="524">
        <f t="shared" si="169"/>
        <v>0</v>
      </c>
      <c r="BI130" s="524">
        <f t="shared" si="169"/>
        <v>0</v>
      </c>
      <c r="BJ130" s="524">
        <f t="shared" si="169"/>
        <v>0</v>
      </c>
      <c r="BK130" s="524">
        <f t="shared" si="169"/>
        <v>0</v>
      </c>
      <c r="BL130" s="524">
        <f t="shared" si="169"/>
        <v>0</v>
      </c>
      <c r="BM130" s="525">
        <f t="shared" si="169"/>
        <v>0</v>
      </c>
      <c r="CK130" s="57" t="s">
        <v>37</v>
      </c>
      <c r="CL130" s="436">
        <f t="shared" si="172"/>
        <v>0</v>
      </c>
      <c r="CM130" s="437">
        <f>CM15*'3 Saalis'!CK127</f>
        <v>0</v>
      </c>
      <c r="CN130" s="438">
        <f>CN15*'3 Saalis'!CL127</f>
        <v>0</v>
      </c>
      <c r="CO130" s="438">
        <f>CO15*'3 Saalis'!CM127</f>
        <v>0</v>
      </c>
      <c r="CP130" s="438">
        <f>CP15*'3 Saalis'!CN127</f>
        <v>0</v>
      </c>
      <c r="CQ130" s="438">
        <f>CQ15*'3 Saalis'!CO127</f>
        <v>0</v>
      </c>
      <c r="CR130" s="438">
        <f>CR15*'3 Saalis'!CP127</f>
        <v>0</v>
      </c>
      <c r="CS130" s="438">
        <f>CS15*'3 Saalis'!CQ127</f>
        <v>0</v>
      </c>
      <c r="CT130" s="438">
        <f>CT15*'3 Saalis'!CR127</f>
        <v>0</v>
      </c>
      <c r="CU130" s="438">
        <f>CU15*'3 Saalis'!CS127</f>
        <v>0</v>
      </c>
      <c r="CV130" s="438">
        <f>CV15*'3 Saalis'!CT127</f>
        <v>0</v>
      </c>
      <c r="CW130" s="438">
        <f>CW15*'3 Saalis'!CU127</f>
        <v>0</v>
      </c>
      <c r="CX130" s="439">
        <f>CX15*'3 Saalis'!CV127</f>
        <v>0</v>
      </c>
    </row>
    <row r="131" spans="2:102" ht="13.5" thickBot="1" x14ac:dyDescent="0.25">
      <c r="B131" s="40"/>
      <c r="C131" s="56" t="s">
        <v>91</v>
      </c>
      <c r="D131" s="492">
        <f>SUM(E131:P131)</f>
        <v>0</v>
      </c>
      <c r="E131" s="1476"/>
      <c r="F131" s="1477"/>
      <c r="G131" s="1477"/>
      <c r="H131" s="1477"/>
      <c r="I131" s="1477"/>
      <c r="J131" s="1477"/>
      <c r="K131" s="1477"/>
      <c r="L131" s="1477"/>
      <c r="M131" s="1477"/>
      <c r="N131" s="1477"/>
      <c r="O131" s="1477"/>
      <c r="P131" s="1478"/>
      <c r="S131" s="258"/>
      <c r="T131" s="259" t="s">
        <v>91</v>
      </c>
      <c r="U131" s="502">
        <f t="shared" si="170"/>
        <v>0</v>
      </c>
      <c r="V131" s="515">
        <f t="shared" ref="V131:AG132" si="176">E131</f>
        <v>0</v>
      </c>
      <c r="W131" s="531">
        <f t="shared" si="176"/>
        <v>0</v>
      </c>
      <c r="X131" s="531">
        <f t="shared" si="176"/>
        <v>0</v>
      </c>
      <c r="Y131" s="531">
        <f t="shared" si="176"/>
        <v>0</v>
      </c>
      <c r="Z131" s="531">
        <f t="shared" si="176"/>
        <v>0</v>
      </c>
      <c r="AA131" s="531">
        <f t="shared" si="176"/>
        <v>0</v>
      </c>
      <c r="AB131" s="531">
        <f t="shared" si="176"/>
        <v>0</v>
      </c>
      <c r="AC131" s="531">
        <f t="shared" si="176"/>
        <v>0</v>
      </c>
      <c r="AD131" s="531">
        <f t="shared" si="176"/>
        <v>0</v>
      </c>
      <c r="AE131" s="531">
        <f t="shared" si="176"/>
        <v>0</v>
      </c>
      <c r="AF131" s="531">
        <f t="shared" si="176"/>
        <v>0</v>
      </c>
      <c r="AG131" s="532">
        <f t="shared" si="176"/>
        <v>0</v>
      </c>
      <c r="AI131" s="40"/>
      <c r="AJ131" s="56" t="s">
        <v>91</v>
      </c>
      <c r="AK131" s="585">
        <f t="shared" si="173"/>
        <v>0</v>
      </c>
      <c r="AL131" s="1504">
        <v>30</v>
      </c>
      <c r="AM131" s="1505">
        <v>30</v>
      </c>
      <c r="AN131" s="1505">
        <v>30</v>
      </c>
      <c r="AO131" s="1505">
        <v>30</v>
      </c>
      <c r="AP131" s="1505">
        <v>30</v>
      </c>
      <c r="AQ131" s="1505">
        <v>30</v>
      </c>
      <c r="AR131" s="1505">
        <v>30</v>
      </c>
      <c r="AS131" s="1505">
        <v>30</v>
      </c>
      <c r="AT131" s="1505">
        <v>30</v>
      </c>
      <c r="AU131" s="1505">
        <v>30</v>
      </c>
      <c r="AV131" s="1505">
        <v>30</v>
      </c>
      <c r="AW131" s="1506">
        <v>30</v>
      </c>
      <c r="AY131" s="40"/>
      <c r="AZ131" s="56" t="s">
        <v>91</v>
      </c>
      <c r="BA131" s="596">
        <f>SUM(BB131:BM131)</f>
        <v>0</v>
      </c>
      <c r="BB131" s="515">
        <f t="shared" si="171"/>
        <v>0</v>
      </c>
      <c r="BC131" s="531">
        <f t="shared" si="169"/>
        <v>0</v>
      </c>
      <c r="BD131" s="531">
        <f t="shared" si="169"/>
        <v>0</v>
      </c>
      <c r="BE131" s="531">
        <f t="shared" si="169"/>
        <v>0</v>
      </c>
      <c r="BF131" s="531">
        <f t="shared" si="169"/>
        <v>0</v>
      </c>
      <c r="BG131" s="531">
        <f t="shared" si="169"/>
        <v>0</v>
      </c>
      <c r="BH131" s="531">
        <f t="shared" si="169"/>
        <v>0</v>
      </c>
      <c r="BI131" s="531">
        <f t="shared" si="169"/>
        <v>0</v>
      </c>
      <c r="BJ131" s="531">
        <f t="shared" si="169"/>
        <v>0</v>
      </c>
      <c r="BK131" s="531">
        <f t="shared" si="169"/>
        <v>0</v>
      </c>
      <c r="BL131" s="531">
        <f t="shared" si="169"/>
        <v>0</v>
      </c>
      <c r="BM131" s="532">
        <f t="shared" si="169"/>
        <v>0</v>
      </c>
      <c r="CK131" s="57" t="s">
        <v>36</v>
      </c>
      <c r="CL131" s="436">
        <f t="shared" si="172"/>
        <v>0</v>
      </c>
      <c r="CM131" s="437">
        <f>CM16*'3 Saalis'!CK128</f>
        <v>0</v>
      </c>
      <c r="CN131" s="438">
        <f>CN16*'3 Saalis'!CL128</f>
        <v>0</v>
      </c>
      <c r="CO131" s="438">
        <f>CO16*'3 Saalis'!CM128</f>
        <v>0</v>
      </c>
      <c r="CP131" s="438">
        <f>CP16*'3 Saalis'!CN128</f>
        <v>0</v>
      </c>
      <c r="CQ131" s="438">
        <f>CQ16*'3 Saalis'!CO128</f>
        <v>0</v>
      </c>
      <c r="CR131" s="438">
        <f>CR16*'3 Saalis'!CP128</f>
        <v>0</v>
      </c>
      <c r="CS131" s="438">
        <f>CS16*'3 Saalis'!CQ128</f>
        <v>0</v>
      </c>
      <c r="CT131" s="438">
        <f>CT16*'3 Saalis'!CR128</f>
        <v>0</v>
      </c>
      <c r="CU131" s="438">
        <f>CU16*'3 Saalis'!CS128</f>
        <v>0</v>
      </c>
      <c r="CV131" s="438">
        <f>CV16*'3 Saalis'!CT128</f>
        <v>0</v>
      </c>
      <c r="CW131" s="438">
        <f>CW16*'3 Saalis'!CU128</f>
        <v>0</v>
      </c>
      <c r="CX131" s="439">
        <f>CX16*'3 Saalis'!CV128</f>
        <v>0</v>
      </c>
    </row>
    <row r="132" spans="2:102" ht="13.5" thickBot="1" x14ac:dyDescent="0.25">
      <c r="B132" s="40" t="s">
        <v>80</v>
      </c>
      <c r="C132" s="1485"/>
      <c r="D132" s="452">
        <f>SUM(E132:P132)</f>
        <v>0</v>
      </c>
      <c r="E132" s="1484"/>
      <c r="F132" s="1480"/>
      <c r="G132" s="1480"/>
      <c r="H132" s="1480"/>
      <c r="I132" s="1480"/>
      <c r="J132" s="1480"/>
      <c r="K132" s="1480"/>
      <c r="L132" s="1480"/>
      <c r="M132" s="1480"/>
      <c r="N132" s="1480"/>
      <c r="O132" s="1480"/>
      <c r="P132" s="1481"/>
      <c r="S132" s="258" t="s">
        <v>80</v>
      </c>
      <c r="T132" s="1133">
        <f>C132</f>
        <v>0</v>
      </c>
      <c r="U132" s="540">
        <f t="shared" si="170"/>
        <v>0</v>
      </c>
      <c r="V132" s="545">
        <f t="shared" si="176"/>
        <v>0</v>
      </c>
      <c r="W132" s="546">
        <f t="shared" si="176"/>
        <v>0</v>
      </c>
      <c r="X132" s="546">
        <f t="shared" si="176"/>
        <v>0</v>
      </c>
      <c r="Y132" s="546">
        <f t="shared" si="176"/>
        <v>0</v>
      </c>
      <c r="Z132" s="546">
        <f t="shared" si="176"/>
        <v>0</v>
      </c>
      <c r="AA132" s="546">
        <f t="shared" si="176"/>
        <v>0</v>
      </c>
      <c r="AB132" s="546">
        <f t="shared" si="176"/>
        <v>0</v>
      </c>
      <c r="AC132" s="546">
        <f t="shared" si="176"/>
        <v>0</v>
      </c>
      <c r="AD132" s="546">
        <f t="shared" si="176"/>
        <v>0</v>
      </c>
      <c r="AE132" s="546">
        <f t="shared" si="176"/>
        <v>0</v>
      </c>
      <c r="AF132" s="546">
        <f t="shared" si="176"/>
        <v>0</v>
      </c>
      <c r="AG132" s="547">
        <f t="shared" si="176"/>
        <v>0</v>
      </c>
      <c r="AI132" s="40" t="s">
        <v>80</v>
      </c>
      <c r="AJ132" s="1133">
        <f>T132</f>
        <v>0</v>
      </c>
      <c r="AK132" s="578">
        <f t="shared" si="173"/>
        <v>0</v>
      </c>
      <c r="AL132" s="1516"/>
      <c r="AM132" s="1517"/>
      <c r="AN132" s="1517"/>
      <c r="AO132" s="1517"/>
      <c r="AP132" s="1517"/>
      <c r="AQ132" s="1517"/>
      <c r="AR132" s="1517"/>
      <c r="AS132" s="1517"/>
      <c r="AT132" s="1517"/>
      <c r="AU132" s="1517"/>
      <c r="AV132" s="1517"/>
      <c r="AW132" s="1518"/>
      <c r="AY132" s="40" t="s">
        <v>80</v>
      </c>
      <c r="AZ132" s="1133">
        <f>AJ132</f>
        <v>0</v>
      </c>
      <c r="BA132" s="540">
        <f>SUM(BB132:BM132)</f>
        <v>0</v>
      </c>
      <c r="BB132" s="522">
        <f t="shared" si="171"/>
        <v>0</v>
      </c>
      <c r="BC132" s="517">
        <f t="shared" si="169"/>
        <v>0</v>
      </c>
      <c r="BD132" s="517">
        <f t="shared" si="169"/>
        <v>0</v>
      </c>
      <c r="BE132" s="517">
        <f t="shared" si="169"/>
        <v>0</v>
      </c>
      <c r="BF132" s="517">
        <f t="shared" si="169"/>
        <v>0</v>
      </c>
      <c r="BG132" s="517">
        <f t="shared" si="169"/>
        <v>0</v>
      </c>
      <c r="BH132" s="517">
        <f t="shared" si="169"/>
        <v>0</v>
      </c>
      <c r="BI132" s="517">
        <f t="shared" si="169"/>
        <v>0</v>
      </c>
      <c r="BJ132" s="517">
        <f t="shared" si="169"/>
        <v>0</v>
      </c>
      <c r="BK132" s="517">
        <f t="shared" si="169"/>
        <v>0</v>
      </c>
      <c r="BL132" s="517">
        <f t="shared" si="169"/>
        <v>0</v>
      </c>
      <c r="BM132" s="539">
        <f t="shared" si="169"/>
        <v>0</v>
      </c>
      <c r="CK132" s="57" t="s">
        <v>94</v>
      </c>
      <c r="CL132" s="436">
        <f t="shared" si="172"/>
        <v>0</v>
      </c>
      <c r="CM132" s="437">
        <f>CM17*'3 Saalis'!CK129</f>
        <v>0</v>
      </c>
      <c r="CN132" s="438">
        <f>CN17*'3 Saalis'!CL129</f>
        <v>0</v>
      </c>
      <c r="CO132" s="438">
        <f>CO17*'3 Saalis'!CM129</f>
        <v>0</v>
      </c>
      <c r="CP132" s="438">
        <f>CP17*'3 Saalis'!CN129</f>
        <v>0</v>
      </c>
      <c r="CQ132" s="438">
        <f>CQ17*'3 Saalis'!CO129</f>
        <v>0</v>
      </c>
      <c r="CR132" s="438">
        <f>CR17*'3 Saalis'!CP129</f>
        <v>0</v>
      </c>
      <c r="CS132" s="438">
        <f>CS17*'3 Saalis'!CQ129</f>
        <v>0</v>
      </c>
      <c r="CT132" s="438">
        <f>CT17*'3 Saalis'!CR129</f>
        <v>0</v>
      </c>
      <c r="CU132" s="438">
        <f>CU17*'3 Saalis'!CS129</f>
        <v>0</v>
      </c>
      <c r="CV132" s="438">
        <f>CV17*'3 Saalis'!CT129</f>
        <v>0</v>
      </c>
      <c r="CW132" s="438">
        <f>CW17*'3 Saalis'!CU129</f>
        <v>0</v>
      </c>
      <c r="CX132" s="439">
        <f>CX17*'3 Saalis'!CV129</f>
        <v>0</v>
      </c>
    </row>
    <row r="133" spans="2:102" ht="13.5" thickBot="1" x14ac:dyDescent="0.25">
      <c r="B133" s="40" t="s">
        <v>72</v>
      </c>
      <c r="C133" s="14"/>
      <c r="D133" s="494">
        <f>D121-SUM(D122:D132)+D126+D131</f>
        <v>0</v>
      </c>
      <c r="E133" s="495">
        <f>E121-SUM(E122:E132)+E126+E131</f>
        <v>0</v>
      </c>
      <c r="F133" s="496">
        <f t="shared" ref="F133:O133" si="177">F121-SUM(F122:F132)+F126+F131</f>
        <v>0</v>
      </c>
      <c r="G133" s="496">
        <f t="shared" si="177"/>
        <v>0</v>
      </c>
      <c r="H133" s="496">
        <f>H121-SUM(H122:H132)+H126+H131</f>
        <v>0</v>
      </c>
      <c r="I133" s="496">
        <f t="shared" si="177"/>
        <v>0</v>
      </c>
      <c r="J133" s="496">
        <f t="shared" si="177"/>
        <v>0</v>
      </c>
      <c r="K133" s="496">
        <f t="shared" si="177"/>
        <v>0</v>
      </c>
      <c r="L133" s="496">
        <f t="shared" si="177"/>
        <v>0</v>
      </c>
      <c r="M133" s="496">
        <f t="shared" si="177"/>
        <v>0</v>
      </c>
      <c r="N133" s="496">
        <f t="shared" si="177"/>
        <v>0</v>
      </c>
      <c r="O133" s="496">
        <f t="shared" si="177"/>
        <v>0</v>
      </c>
      <c r="P133" s="497">
        <f>P121-SUM(P122:P132)+P126+P131</f>
        <v>0</v>
      </c>
      <c r="S133" s="258" t="s">
        <v>113</v>
      </c>
      <c r="T133" s="117"/>
      <c r="U133" s="416">
        <f>SUM(U122:U132)</f>
        <v>0</v>
      </c>
      <c r="V133" s="526">
        <f t="shared" ref="V133:AG133" si="178">SUM(V122:V132)</f>
        <v>0</v>
      </c>
      <c r="W133" s="517">
        <f t="shared" si="178"/>
        <v>0</v>
      </c>
      <c r="X133" s="517">
        <f t="shared" si="178"/>
        <v>0</v>
      </c>
      <c r="Y133" s="517">
        <f t="shared" si="178"/>
        <v>0</v>
      </c>
      <c r="Z133" s="517">
        <f t="shared" si="178"/>
        <v>0</v>
      </c>
      <c r="AA133" s="517">
        <f t="shared" si="178"/>
        <v>0</v>
      </c>
      <c r="AB133" s="517">
        <f t="shared" si="178"/>
        <v>0</v>
      </c>
      <c r="AC133" s="517">
        <f t="shared" si="178"/>
        <v>0</v>
      </c>
      <c r="AD133" s="517">
        <f t="shared" si="178"/>
        <v>0</v>
      </c>
      <c r="AE133" s="517">
        <f t="shared" si="178"/>
        <v>0</v>
      </c>
      <c r="AF133" s="517">
        <f t="shared" si="178"/>
        <v>0</v>
      </c>
      <c r="AG133" s="539">
        <f t="shared" si="178"/>
        <v>0</v>
      </c>
      <c r="AI133" s="40" t="s">
        <v>99</v>
      </c>
      <c r="AJ133" s="14"/>
      <c r="AK133" s="578">
        <f>IF(BA121=0,0,BA133/BA121)</f>
        <v>0</v>
      </c>
      <c r="AL133" s="580">
        <f>IF(BB121=0,0,BB133/BB121)</f>
        <v>0</v>
      </c>
      <c r="AM133" s="581">
        <f t="shared" ref="AM133:AW133" si="179">IF(BC121=0,0,BC133/BC121)</f>
        <v>0</v>
      </c>
      <c r="AN133" s="581">
        <f t="shared" si="179"/>
        <v>0</v>
      </c>
      <c r="AO133" s="581">
        <f t="shared" si="179"/>
        <v>0</v>
      </c>
      <c r="AP133" s="581">
        <f t="shared" si="179"/>
        <v>0</v>
      </c>
      <c r="AQ133" s="581">
        <f t="shared" si="179"/>
        <v>0</v>
      </c>
      <c r="AR133" s="581">
        <f t="shared" si="179"/>
        <v>0</v>
      </c>
      <c r="AS133" s="581">
        <f t="shared" si="179"/>
        <v>0</v>
      </c>
      <c r="AT133" s="581">
        <f t="shared" si="179"/>
        <v>0</v>
      </c>
      <c r="AU133" s="581">
        <f t="shared" si="179"/>
        <v>0</v>
      </c>
      <c r="AV133" s="581">
        <f t="shared" si="179"/>
        <v>0</v>
      </c>
      <c r="AW133" s="582">
        <f t="shared" si="179"/>
        <v>0</v>
      </c>
      <c r="AY133" s="40" t="s">
        <v>98</v>
      </c>
      <c r="AZ133" s="14"/>
      <c r="BA133" s="416">
        <f>SUM(BA122:BA132)</f>
        <v>0</v>
      </c>
      <c r="BB133" s="549">
        <f>SUM(BB122:BB132)</f>
        <v>0</v>
      </c>
      <c r="BC133" s="553">
        <f t="shared" ref="BC133:BM133" si="180">SUM(BC122:BC132)</f>
        <v>0</v>
      </c>
      <c r="BD133" s="553">
        <f t="shared" si="180"/>
        <v>0</v>
      </c>
      <c r="BE133" s="553">
        <f t="shared" si="180"/>
        <v>0</v>
      </c>
      <c r="BF133" s="553">
        <f t="shared" si="180"/>
        <v>0</v>
      </c>
      <c r="BG133" s="553">
        <f t="shared" si="180"/>
        <v>0</v>
      </c>
      <c r="BH133" s="553">
        <f t="shared" si="180"/>
        <v>0</v>
      </c>
      <c r="BI133" s="553">
        <f t="shared" si="180"/>
        <v>0</v>
      </c>
      <c r="BJ133" s="553">
        <f t="shared" si="180"/>
        <v>0</v>
      </c>
      <c r="BK133" s="553">
        <f t="shared" si="180"/>
        <v>0</v>
      </c>
      <c r="BL133" s="553">
        <f t="shared" si="180"/>
        <v>0</v>
      </c>
      <c r="BM133" s="554">
        <f t="shared" si="180"/>
        <v>0</v>
      </c>
      <c r="CK133" s="40" t="s">
        <v>93</v>
      </c>
      <c r="CL133" s="483">
        <f t="shared" si="172"/>
        <v>0</v>
      </c>
      <c r="CM133" s="440">
        <f>CM18*'3 Saalis'!CK130</f>
        <v>0</v>
      </c>
      <c r="CN133" s="441">
        <f>CN18*'3 Saalis'!CL130</f>
        <v>0</v>
      </c>
      <c r="CO133" s="441">
        <f>CO18*'3 Saalis'!CM130</f>
        <v>0</v>
      </c>
      <c r="CP133" s="441">
        <f>CP18*'3 Saalis'!CN130</f>
        <v>0</v>
      </c>
      <c r="CQ133" s="441">
        <f>CQ18*'3 Saalis'!CO130</f>
        <v>0</v>
      </c>
      <c r="CR133" s="441">
        <f>CR18*'3 Saalis'!CP130</f>
        <v>0</v>
      </c>
      <c r="CS133" s="441">
        <f>CS18*'3 Saalis'!CQ130</f>
        <v>0</v>
      </c>
      <c r="CT133" s="441">
        <f>CT18*'3 Saalis'!CR130</f>
        <v>0</v>
      </c>
      <c r="CU133" s="441">
        <f>CU18*'3 Saalis'!CS130</f>
        <v>0</v>
      </c>
      <c r="CV133" s="441">
        <f>CV18*'3 Saalis'!CT130</f>
        <v>0</v>
      </c>
      <c r="CW133" s="441">
        <f>CW18*'3 Saalis'!CU130</f>
        <v>0</v>
      </c>
      <c r="CX133" s="442">
        <f>CX18*'3 Saalis'!CV130</f>
        <v>0</v>
      </c>
    </row>
    <row r="134" spans="2:102" ht="13.5" thickBot="1" x14ac:dyDescent="0.25">
      <c r="E134" s="794" t="str">
        <f>IF(E133&lt;0,"Ylimyynti!!!","")</f>
        <v/>
      </c>
      <c r="F134" s="794" t="str">
        <f t="shared" ref="F134:P134" si="181">IF(F133&lt;0,"Ylimyynti!!!","")</f>
        <v/>
      </c>
      <c r="G134" s="794" t="str">
        <f t="shared" si="181"/>
        <v/>
      </c>
      <c r="H134" s="794" t="str">
        <f>IF(H133&lt;0,"Ylimyynti!!!","")</f>
        <v/>
      </c>
      <c r="I134" s="794" t="str">
        <f t="shared" si="181"/>
        <v/>
      </c>
      <c r="J134" s="794" t="str">
        <f t="shared" si="181"/>
        <v/>
      </c>
      <c r="K134" s="794" t="str">
        <f t="shared" si="181"/>
        <v/>
      </c>
      <c r="L134" s="794" t="str">
        <f t="shared" si="181"/>
        <v/>
      </c>
      <c r="M134" s="794" t="str">
        <f t="shared" si="181"/>
        <v/>
      </c>
      <c r="N134" s="794" t="str">
        <f t="shared" si="181"/>
        <v/>
      </c>
      <c r="O134" s="794" t="str">
        <f t="shared" si="181"/>
        <v/>
      </c>
      <c r="P134" s="794" t="str">
        <f t="shared" si="181"/>
        <v/>
      </c>
      <c r="CK134" s="8" t="s">
        <v>107</v>
      </c>
      <c r="CL134" s="423">
        <f>SUM(CL122:CL133)</f>
        <v>0</v>
      </c>
      <c r="CM134" s="614">
        <f>SUM(CM122:CM133)</f>
        <v>0</v>
      </c>
      <c r="CN134" s="444">
        <f t="shared" ref="CN134:CX134" si="182">SUM(CN122:CN133)</f>
        <v>0</v>
      </c>
      <c r="CO134" s="444">
        <f t="shared" si="182"/>
        <v>0</v>
      </c>
      <c r="CP134" s="444">
        <f t="shared" si="182"/>
        <v>0</v>
      </c>
      <c r="CQ134" s="444">
        <f t="shared" si="182"/>
        <v>0</v>
      </c>
      <c r="CR134" s="444">
        <f t="shared" si="182"/>
        <v>0</v>
      </c>
      <c r="CS134" s="444">
        <f t="shared" si="182"/>
        <v>0</v>
      </c>
      <c r="CT134" s="444">
        <f t="shared" si="182"/>
        <v>0</v>
      </c>
      <c r="CU134" s="444">
        <f t="shared" si="182"/>
        <v>0</v>
      </c>
      <c r="CV134" s="444">
        <f t="shared" si="182"/>
        <v>0</v>
      </c>
      <c r="CW134" s="444">
        <f t="shared" si="182"/>
        <v>0</v>
      </c>
      <c r="CX134" s="445">
        <f t="shared" si="182"/>
        <v>0</v>
      </c>
    </row>
    <row r="135" spans="2:102" ht="13.5" thickBot="1" x14ac:dyDescent="0.25">
      <c r="B135" s="5" t="s">
        <v>523</v>
      </c>
      <c r="C135" s="36"/>
      <c r="D135" s="249" t="s">
        <v>40</v>
      </c>
      <c r="E135" s="245"/>
      <c r="F135" s="246"/>
      <c r="G135" s="246"/>
      <c r="H135" s="246"/>
      <c r="I135" s="246"/>
      <c r="J135" s="219" t="s">
        <v>42</v>
      </c>
      <c r="K135" s="246"/>
      <c r="L135" s="246"/>
      <c r="M135" s="246"/>
      <c r="N135" s="246"/>
      <c r="O135" s="246"/>
      <c r="P135" s="247"/>
      <c r="Q135" s="250"/>
      <c r="S135" s="251" t="s">
        <v>523</v>
      </c>
      <c r="T135" s="252"/>
      <c r="U135" s="249" t="s">
        <v>40</v>
      </c>
      <c r="V135" s="245"/>
      <c r="W135" s="246"/>
      <c r="X135" s="246"/>
      <c r="Y135" s="246"/>
      <c r="Z135" s="246"/>
      <c r="AA135" s="219" t="s">
        <v>42</v>
      </c>
      <c r="AB135" s="246"/>
      <c r="AC135" s="246"/>
      <c r="AD135" s="246"/>
      <c r="AE135" s="246"/>
      <c r="AF135" s="246"/>
      <c r="AG135" s="247"/>
      <c r="AI135" s="5" t="s">
        <v>523</v>
      </c>
      <c r="AJ135" s="36"/>
      <c r="AK135" s="51" t="s">
        <v>40</v>
      </c>
      <c r="AL135" s="47"/>
      <c r="AM135" s="48"/>
      <c r="AN135" s="48"/>
      <c r="AO135" s="48"/>
      <c r="AP135" s="48"/>
      <c r="AQ135" s="41" t="s">
        <v>42</v>
      </c>
      <c r="AR135" s="48"/>
      <c r="AS135" s="48"/>
      <c r="AT135" s="48"/>
      <c r="AU135" s="48"/>
      <c r="AV135" s="48"/>
      <c r="AW135" s="49"/>
      <c r="AY135" s="5" t="s">
        <v>523</v>
      </c>
      <c r="AZ135" s="36"/>
      <c r="BA135" s="249" t="s">
        <v>40</v>
      </c>
      <c r="BB135" s="245"/>
      <c r="BC135" s="246"/>
      <c r="BD135" s="246"/>
      <c r="BE135" s="246"/>
      <c r="BF135" s="246"/>
      <c r="BG135" s="219" t="s">
        <v>42</v>
      </c>
      <c r="BH135" s="246"/>
      <c r="BI135" s="246"/>
      <c r="BJ135" s="246"/>
      <c r="BK135" s="246"/>
      <c r="BL135" s="246"/>
      <c r="BM135" s="247"/>
    </row>
    <row r="136" spans="2:102" ht="14.25" customHeight="1" thickBot="1" x14ac:dyDescent="0.25">
      <c r="B136" s="57"/>
      <c r="C136" s="59"/>
      <c r="D136" s="253" t="s">
        <v>41</v>
      </c>
      <c r="E136" s="254">
        <v>1</v>
      </c>
      <c r="F136" s="70">
        <v>2</v>
      </c>
      <c r="G136" s="70">
        <v>3</v>
      </c>
      <c r="H136" s="70">
        <v>4</v>
      </c>
      <c r="I136" s="70">
        <v>5</v>
      </c>
      <c r="J136" s="70">
        <v>6</v>
      </c>
      <c r="K136" s="70">
        <v>7</v>
      </c>
      <c r="L136" s="70">
        <v>8</v>
      </c>
      <c r="M136" s="70">
        <v>9</v>
      </c>
      <c r="N136" s="70">
        <v>10</v>
      </c>
      <c r="O136" s="70">
        <v>11</v>
      </c>
      <c r="P136" s="71">
        <v>12</v>
      </c>
      <c r="Q136" s="87"/>
      <c r="S136" s="255"/>
      <c r="T136" s="256"/>
      <c r="U136" s="253" t="s">
        <v>41</v>
      </c>
      <c r="V136" s="254">
        <v>1</v>
      </c>
      <c r="W136" s="70">
        <v>2</v>
      </c>
      <c r="X136" s="70">
        <v>3</v>
      </c>
      <c r="Y136" s="70">
        <v>4</v>
      </c>
      <c r="Z136" s="70">
        <v>5</v>
      </c>
      <c r="AA136" s="70">
        <v>6</v>
      </c>
      <c r="AB136" s="70">
        <v>7</v>
      </c>
      <c r="AC136" s="70">
        <v>8</v>
      </c>
      <c r="AD136" s="70">
        <v>9</v>
      </c>
      <c r="AE136" s="70">
        <v>10</v>
      </c>
      <c r="AF136" s="70">
        <v>11</v>
      </c>
      <c r="AG136" s="71">
        <v>12</v>
      </c>
      <c r="AI136" s="57"/>
      <c r="AJ136" s="59"/>
      <c r="AK136" s="69" t="s">
        <v>41</v>
      </c>
      <c r="AL136" s="72">
        <v>1</v>
      </c>
      <c r="AM136" s="70">
        <v>2</v>
      </c>
      <c r="AN136" s="70">
        <v>3</v>
      </c>
      <c r="AO136" s="70">
        <v>4</v>
      </c>
      <c r="AP136" s="70">
        <v>5</v>
      </c>
      <c r="AQ136" s="70">
        <v>6</v>
      </c>
      <c r="AR136" s="70">
        <v>7</v>
      </c>
      <c r="AS136" s="70">
        <v>8</v>
      </c>
      <c r="AT136" s="70">
        <v>9</v>
      </c>
      <c r="AU136" s="70">
        <v>10</v>
      </c>
      <c r="AV136" s="70">
        <v>11</v>
      </c>
      <c r="AW136" s="71">
        <v>12</v>
      </c>
      <c r="AY136" s="57"/>
      <c r="AZ136" s="59"/>
      <c r="BA136" s="253" t="s">
        <v>41</v>
      </c>
      <c r="BB136" s="254">
        <v>1</v>
      </c>
      <c r="BC136" s="70">
        <v>2</v>
      </c>
      <c r="BD136" s="70">
        <v>3</v>
      </c>
      <c r="BE136" s="70">
        <v>4</v>
      </c>
      <c r="BF136" s="70">
        <v>5</v>
      </c>
      <c r="BG136" s="70">
        <v>6</v>
      </c>
      <c r="BH136" s="70">
        <v>7</v>
      </c>
      <c r="BI136" s="70">
        <v>8</v>
      </c>
      <c r="BJ136" s="70">
        <v>9</v>
      </c>
      <c r="BK136" s="70">
        <v>10</v>
      </c>
      <c r="BL136" s="70">
        <v>11</v>
      </c>
      <c r="BM136" s="71">
        <v>12</v>
      </c>
    </row>
    <row r="137" spans="2:102" ht="21.75" customHeight="1" thickBot="1" x14ac:dyDescent="0.25">
      <c r="B137" s="8" t="s">
        <v>73</v>
      </c>
      <c r="C137" s="58"/>
      <c r="D137" s="423">
        <f>'3 Saalis'!D16</f>
        <v>0</v>
      </c>
      <c r="E137" s="461">
        <f>'3 Saalis'!E16</f>
        <v>0</v>
      </c>
      <c r="F137" s="453">
        <f>'3 Saalis'!F16</f>
        <v>0</v>
      </c>
      <c r="G137" s="453">
        <f>'3 Saalis'!G16</f>
        <v>0</v>
      </c>
      <c r="H137" s="453">
        <f>'3 Saalis'!H16</f>
        <v>0</v>
      </c>
      <c r="I137" s="453">
        <f>'3 Saalis'!I16</f>
        <v>0</v>
      </c>
      <c r="J137" s="453">
        <f>'3 Saalis'!J16</f>
        <v>0</v>
      </c>
      <c r="K137" s="453">
        <f>'3 Saalis'!K16</f>
        <v>0</v>
      </c>
      <c r="L137" s="453">
        <f>'3 Saalis'!L16</f>
        <v>0</v>
      </c>
      <c r="M137" s="453">
        <f>'3 Saalis'!M16</f>
        <v>0</v>
      </c>
      <c r="N137" s="453">
        <f>'3 Saalis'!N16</f>
        <v>0</v>
      </c>
      <c r="O137" s="453">
        <f>'3 Saalis'!O16</f>
        <v>0</v>
      </c>
      <c r="P137" s="454">
        <f>'3 Saalis'!P16</f>
        <v>0</v>
      </c>
      <c r="Q137" s="257"/>
      <c r="S137" s="260" t="s">
        <v>73</v>
      </c>
      <c r="T137" s="261"/>
      <c r="U137" s="423">
        <f t="shared" ref="U137:AG137" si="183">D137</f>
        <v>0</v>
      </c>
      <c r="V137" s="461">
        <f t="shared" si="183"/>
        <v>0</v>
      </c>
      <c r="W137" s="453">
        <f t="shared" si="183"/>
        <v>0</v>
      </c>
      <c r="X137" s="453">
        <f t="shared" si="183"/>
        <v>0</v>
      </c>
      <c r="Y137" s="453">
        <f t="shared" si="183"/>
        <v>0</v>
      </c>
      <c r="Z137" s="453">
        <f t="shared" si="183"/>
        <v>0</v>
      </c>
      <c r="AA137" s="453">
        <f t="shared" si="183"/>
        <v>0</v>
      </c>
      <c r="AB137" s="453">
        <f t="shared" si="183"/>
        <v>0</v>
      </c>
      <c r="AC137" s="453">
        <f t="shared" si="183"/>
        <v>0</v>
      </c>
      <c r="AD137" s="453">
        <f t="shared" si="183"/>
        <v>0</v>
      </c>
      <c r="AE137" s="453">
        <f t="shared" si="183"/>
        <v>0</v>
      </c>
      <c r="AF137" s="453">
        <f t="shared" si="183"/>
        <v>0</v>
      </c>
      <c r="AG137" s="454">
        <f t="shared" si="183"/>
        <v>0</v>
      </c>
      <c r="AI137" s="8" t="s">
        <v>73</v>
      </c>
      <c r="AJ137" s="58"/>
      <c r="AK137" s="424">
        <f t="shared" ref="AK137:AW137" si="184">D137</f>
        <v>0</v>
      </c>
      <c r="AL137" s="589">
        <f t="shared" si="184"/>
        <v>0</v>
      </c>
      <c r="AM137" s="589">
        <f t="shared" si="184"/>
        <v>0</v>
      </c>
      <c r="AN137" s="589">
        <f t="shared" si="184"/>
        <v>0</v>
      </c>
      <c r="AO137" s="589">
        <f t="shared" si="184"/>
        <v>0</v>
      </c>
      <c r="AP137" s="589">
        <f t="shared" si="184"/>
        <v>0</v>
      </c>
      <c r="AQ137" s="589">
        <f t="shared" si="184"/>
        <v>0</v>
      </c>
      <c r="AR137" s="589">
        <f t="shared" si="184"/>
        <v>0</v>
      </c>
      <c r="AS137" s="589">
        <f t="shared" si="184"/>
        <v>0</v>
      </c>
      <c r="AT137" s="589">
        <f t="shared" si="184"/>
        <v>0</v>
      </c>
      <c r="AU137" s="589">
        <f t="shared" si="184"/>
        <v>0</v>
      </c>
      <c r="AV137" s="589">
        <f t="shared" si="184"/>
        <v>0</v>
      </c>
      <c r="AW137" s="1135">
        <f t="shared" si="184"/>
        <v>0</v>
      </c>
      <c r="AY137" s="8" t="s">
        <v>73</v>
      </c>
      <c r="AZ137" s="58"/>
      <c r="BA137" s="423">
        <f t="shared" ref="BA137:BM137" si="185">AK137</f>
        <v>0</v>
      </c>
      <c r="BB137" s="488">
        <f t="shared" si="185"/>
        <v>0</v>
      </c>
      <c r="BC137" s="488">
        <f t="shared" si="185"/>
        <v>0</v>
      </c>
      <c r="BD137" s="488">
        <f t="shared" si="185"/>
        <v>0</v>
      </c>
      <c r="BE137" s="488">
        <f t="shared" si="185"/>
        <v>0</v>
      </c>
      <c r="BF137" s="488">
        <f t="shared" si="185"/>
        <v>0</v>
      </c>
      <c r="BG137" s="488">
        <f t="shared" si="185"/>
        <v>0</v>
      </c>
      <c r="BH137" s="488">
        <f t="shared" si="185"/>
        <v>0</v>
      </c>
      <c r="BI137" s="488">
        <f t="shared" si="185"/>
        <v>0</v>
      </c>
      <c r="BJ137" s="488">
        <f t="shared" si="185"/>
        <v>0</v>
      </c>
      <c r="BK137" s="488">
        <f t="shared" si="185"/>
        <v>0</v>
      </c>
      <c r="BL137" s="488">
        <f t="shared" si="185"/>
        <v>0</v>
      </c>
      <c r="BM137" s="489">
        <f t="shared" si="185"/>
        <v>0</v>
      </c>
      <c r="CK137" s="792" t="str">
        <f>'3 Saalis'!T177</f>
        <v>PU-rysä2</v>
      </c>
      <c r="CL137" s="793"/>
      <c r="CM137" s="793"/>
      <c r="CN137" s="793" t="str">
        <f>'3 Saalis'!V177</f>
        <v>Yhteensä</v>
      </c>
      <c r="CO137" s="934"/>
      <c r="CP137" s="934"/>
      <c r="CQ137" s="377"/>
      <c r="CR137" s="734"/>
    </row>
    <row r="138" spans="2:102" ht="15.75" customHeight="1" thickBot="1" x14ac:dyDescent="0.4">
      <c r="B138" s="5" t="s">
        <v>64</v>
      </c>
      <c r="C138" s="36" t="s">
        <v>77</v>
      </c>
      <c r="D138" s="501">
        <f>SUM(E138:P138)</f>
        <v>0</v>
      </c>
      <c r="E138" s="1487"/>
      <c r="F138" s="1488"/>
      <c r="G138" s="1488"/>
      <c r="H138" s="1488"/>
      <c r="I138" s="1488"/>
      <c r="J138" s="1488"/>
      <c r="K138" s="1488"/>
      <c r="L138" s="1488"/>
      <c r="M138" s="1488"/>
      <c r="N138" s="1488"/>
      <c r="O138" s="1488"/>
      <c r="P138" s="1489"/>
      <c r="S138" s="251" t="s">
        <v>64</v>
      </c>
      <c r="T138" s="256" t="s">
        <v>77</v>
      </c>
      <c r="U138" s="450">
        <f>SUM(V138:AG138)</f>
        <v>0</v>
      </c>
      <c r="V138" s="519">
        <f>E138*'5 Kalan alkukäsittely satamassa'!$D$17</f>
        <v>0</v>
      </c>
      <c r="W138" s="499">
        <f>F138*'5 Kalan alkukäsittely satamassa'!$D$17</f>
        <v>0</v>
      </c>
      <c r="X138" s="499">
        <f>G138*'5 Kalan alkukäsittely satamassa'!$D$17</f>
        <v>0</v>
      </c>
      <c r="Y138" s="499">
        <f>H138*'5 Kalan alkukäsittely satamassa'!$D$17</f>
        <v>0</v>
      </c>
      <c r="Z138" s="499">
        <f>I138*'5 Kalan alkukäsittely satamassa'!$D$17</f>
        <v>0</v>
      </c>
      <c r="AA138" s="499">
        <f>J138*'5 Kalan alkukäsittely satamassa'!$D$17</f>
        <v>0</v>
      </c>
      <c r="AB138" s="499">
        <f>K138*'5 Kalan alkukäsittely satamassa'!$D$17</f>
        <v>0</v>
      </c>
      <c r="AC138" s="499">
        <f>L138*'5 Kalan alkukäsittely satamassa'!$D$17</f>
        <v>0</v>
      </c>
      <c r="AD138" s="499">
        <f>M138*'5 Kalan alkukäsittely satamassa'!$D$17</f>
        <v>0</v>
      </c>
      <c r="AE138" s="499">
        <f>N138*'5 Kalan alkukäsittely satamassa'!$D$17</f>
        <v>0</v>
      </c>
      <c r="AF138" s="499">
        <f>O138*'5 Kalan alkukäsittely satamassa'!$D$17</f>
        <v>0</v>
      </c>
      <c r="AG138" s="520">
        <f>P138*'5 Kalan alkukäsittely satamassa'!$D$17</f>
        <v>0</v>
      </c>
      <c r="AI138" s="5" t="s">
        <v>64</v>
      </c>
      <c r="AJ138" s="59" t="s">
        <v>77</v>
      </c>
      <c r="AK138" s="584">
        <f>IF(D138=0,0,BA138/D138)</f>
        <v>0</v>
      </c>
      <c r="AL138" s="1511">
        <v>8</v>
      </c>
      <c r="AM138" s="1511">
        <v>8</v>
      </c>
      <c r="AN138" s="1511">
        <v>8</v>
      </c>
      <c r="AO138" s="1511">
        <v>8</v>
      </c>
      <c r="AP138" s="1511">
        <v>6.08</v>
      </c>
      <c r="AQ138" s="1511">
        <v>5.28</v>
      </c>
      <c r="AR138" s="1511">
        <v>5.65</v>
      </c>
      <c r="AS138" s="1511">
        <v>7.34</v>
      </c>
      <c r="AT138" s="1511">
        <v>4.99</v>
      </c>
      <c r="AU138" s="1511">
        <v>6.19</v>
      </c>
      <c r="AV138" s="1511">
        <v>6.19</v>
      </c>
      <c r="AW138" s="1498">
        <v>3.63</v>
      </c>
      <c r="AY138" s="57" t="s">
        <v>64</v>
      </c>
      <c r="AZ138" s="59" t="s">
        <v>77</v>
      </c>
      <c r="BA138" s="452">
        <f>SUM(BB138:BM138)</f>
        <v>0</v>
      </c>
      <c r="BB138" s="519">
        <f>V138*AL138</f>
        <v>0</v>
      </c>
      <c r="BC138" s="500">
        <f t="shared" ref="BC138:BM142" si="186">W138*AM138</f>
        <v>0</v>
      </c>
      <c r="BD138" s="500">
        <f t="shared" si="186"/>
        <v>0</v>
      </c>
      <c r="BE138" s="500">
        <f t="shared" si="186"/>
        <v>0</v>
      </c>
      <c r="BF138" s="500">
        <f t="shared" si="186"/>
        <v>0</v>
      </c>
      <c r="BG138" s="500">
        <f t="shared" si="186"/>
        <v>0</v>
      </c>
      <c r="BH138" s="500">
        <f t="shared" si="186"/>
        <v>0</v>
      </c>
      <c r="BI138" s="500">
        <f t="shared" si="186"/>
        <v>0</v>
      </c>
      <c r="BJ138" s="500">
        <f t="shared" si="186"/>
        <v>0</v>
      </c>
      <c r="BK138" s="500">
        <f t="shared" si="186"/>
        <v>0</v>
      </c>
      <c r="BL138" s="500">
        <f t="shared" si="186"/>
        <v>0</v>
      </c>
      <c r="BM138" s="529">
        <f t="shared" si="186"/>
        <v>0</v>
      </c>
      <c r="CK138" s="39"/>
      <c r="CL138" s="39"/>
      <c r="CM138" s="43"/>
    </row>
    <row r="139" spans="2:102" ht="16.5" customHeight="1" thickBot="1" x14ac:dyDescent="0.4">
      <c r="B139" s="40"/>
      <c r="C139" s="56" t="s">
        <v>84</v>
      </c>
      <c r="D139" s="498">
        <f>SUM(E139:P139)</f>
        <v>0</v>
      </c>
      <c r="E139" s="1483"/>
      <c r="F139" s="1477"/>
      <c r="G139" s="1477"/>
      <c r="H139" s="1477"/>
      <c r="I139" s="1477"/>
      <c r="J139" s="1477"/>
      <c r="K139" s="1477"/>
      <c r="L139" s="1477"/>
      <c r="M139" s="1477"/>
      <c r="N139" s="1477"/>
      <c r="O139" s="1477"/>
      <c r="P139" s="1478"/>
      <c r="S139" s="258"/>
      <c r="T139" s="259" t="s">
        <v>78</v>
      </c>
      <c r="U139" s="451">
        <f>SUM(V139:AG139)</f>
        <v>0</v>
      </c>
      <c r="V139" s="548">
        <f>E139*'5 Kalan alkukäsittely satamassa'!$F$17</f>
        <v>0</v>
      </c>
      <c r="W139" s="549">
        <f>F139*'5 Kalan alkukäsittely satamassa'!$F$17</f>
        <v>0</v>
      </c>
      <c r="X139" s="549">
        <f>G139*'5 Kalan alkukäsittely satamassa'!$F$17</f>
        <v>0</v>
      </c>
      <c r="Y139" s="549">
        <f>H139*'5 Kalan alkukäsittely satamassa'!$F$17</f>
        <v>0</v>
      </c>
      <c r="Z139" s="549">
        <f>I139*'5 Kalan alkukäsittely satamassa'!$F$17</f>
        <v>0</v>
      </c>
      <c r="AA139" s="549">
        <f>J139*'5 Kalan alkukäsittely satamassa'!$F$17</f>
        <v>0</v>
      </c>
      <c r="AB139" s="549">
        <f>K139*'5 Kalan alkukäsittely satamassa'!$F$17</f>
        <v>0</v>
      </c>
      <c r="AC139" s="549">
        <f>L139*'5 Kalan alkukäsittely satamassa'!$F$17</f>
        <v>0</v>
      </c>
      <c r="AD139" s="549">
        <f>M139*'5 Kalan alkukäsittely satamassa'!$F$17</f>
        <v>0</v>
      </c>
      <c r="AE139" s="549">
        <f>N139*'5 Kalan alkukäsittely satamassa'!$F$17</f>
        <v>0</v>
      </c>
      <c r="AF139" s="549">
        <f>O139*'5 Kalan alkukäsittely satamassa'!$F$17</f>
        <v>0</v>
      </c>
      <c r="AG139" s="493">
        <f>P139*'5 Kalan alkukäsittely satamassa'!$F$17</f>
        <v>0</v>
      </c>
      <c r="AI139" s="57"/>
      <c r="AJ139" s="59" t="s">
        <v>78</v>
      </c>
      <c r="AK139" s="590">
        <f>IF(D139=0,0,BA139/D139)</f>
        <v>0</v>
      </c>
      <c r="AL139" s="1508">
        <v>9</v>
      </c>
      <c r="AM139" s="1509">
        <v>9</v>
      </c>
      <c r="AN139" s="1509">
        <v>9</v>
      </c>
      <c r="AO139" s="1509">
        <v>9</v>
      </c>
      <c r="AP139" s="1509">
        <v>9</v>
      </c>
      <c r="AQ139" s="1509">
        <v>9</v>
      </c>
      <c r="AR139" s="1509">
        <v>9</v>
      </c>
      <c r="AS139" s="1509">
        <v>9</v>
      </c>
      <c r="AT139" s="1509">
        <v>9</v>
      </c>
      <c r="AU139" s="1509">
        <v>9</v>
      </c>
      <c r="AV139" s="1509">
        <v>9</v>
      </c>
      <c r="AW139" s="1510">
        <v>9</v>
      </c>
      <c r="AY139" s="57"/>
      <c r="AZ139" s="59" t="s">
        <v>78</v>
      </c>
      <c r="BA139" s="555">
        <f>SUM(BB139:BM139)</f>
        <v>0</v>
      </c>
      <c r="BB139" s="541">
        <f>V139*AL139</f>
        <v>0</v>
      </c>
      <c r="BC139" s="542">
        <f t="shared" si="186"/>
        <v>0</v>
      </c>
      <c r="BD139" s="542">
        <f t="shared" si="186"/>
        <v>0</v>
      </c>
      <c r="BE139" s="542">
        <f t="shared" si="186"/>
        <v>0</v>
      </c>
      <c r="BF139" s="542">
        <f t="shared" si="186"/>
        <v>0</v>
      </c>
      <c r="BG139" s="542">
        <f t="shared" si="186"/>
        <v>0</v>
      </c>
      <c r="BH139" s="542">
        <f t="shared" si="186"/>
        <v>0</v>
      </c>
      <c r="BI139" s="542">
        <f t="shared" si="186"/>
        <v>0</v>
      </c>
      <c r="BJ139" s="542">
        <f t="shared" si="186"/>
        <v>0</v>
      </c>
      <c r="BK139" s="542">
        <f t="shared" si="186"/>
        <v>0</v>
      </c>
      <c r="BL139" s="542">
        <f t="shared" si="186"/>
        <v>0</v>
      </c>
      <c r="BM139" s="543">
        <f t="shared" si="186"/>
        <v>0</v>
      </c>
      <c r="CK139" s="30" t="s">
        <v>39</v>
      </c>
      <c r="CL139" s="455">
        <f>'3 Saalis'!CJ135</f>
        <v>0</v>
      </c>
      <c r="CM139" s="8" t="s">
        <v>15</v>
      </c>
      <c r="CN139" s="41"/>
      <c r="CO139" s="42"/>
      <c r="CP139" s="8" t="s">
        <v>5</v>
      </c>
      <c r="CQ139" s="10"/>
      <c r="CR139" s="18"/>
      <c r="CS139" s="18"/>
      <c r="CT139" s="18"/>
      <c r="CU139" s="10"/>
    </row>
    <row r="140" spans="2:102" ht="13.5" thickBot="1" x14ac:dyDescent="0.25">
      <c r="B140" s="5" t="s">
        <v>79</v>
      </c>
      <c r="C140" s="36" t="s">
        <v>77</v>
      </c>
      <c r="D140" s="452">
        <f>SUM(E140:P140)</f>
        <v>0</v>
      </c>
      <c r="E140" s="1487"/>
      <c r="F140" s="1488"/>
      <c r="G140" s="1488"/>
      <c r="H140" s="1488"/>
      <c r="I140" s="1488"/>
      <c r="J140" s="1488"/>
      <c r="K140" s="1488"/>
      <c r="L140" s="1488"/>
      <c r="M140" s="1488"/>
      <c r="N140" s="1488"/>
      <c r="O140" s="1488"/>
      <c r="P140" s="1489"/>
      <c r="S140" s="255" t="s">
        <v>79</v>
      </c>
      <c r="T140" s="256" t="s">
        <v>77</v>
      </c>
      <c r="U140" s="505">
        <f>SUM(V140:AG140)</f>
        <v>0</v>
      </c>
      <c r="V140" s="519">
        <f>E140*'5 Kalan alkukäsittely satamassa'!$D$17</f>
        <v>0</v>
      </c>
      <c r="W140" s="499">
        <f>F140*'5 Kalan alkukäsittely satamassa'!$D$17</f>
        <v>0</v>
      </c>
      <c r="X140" s="499">
        <f>G140*'5 Kalan alkukäsittely satamassa'!$D$17</f>
        <v>0</v>
      </c>
      <c r="Y140" s="499">
        <f>H140*'5 Kalan alkukäsittely satamassa'!$D$17</f>
        <v>0</v>
      </c>
      <c r="Z140" s="499">
        <f>I140*'5 Kalan alkukäsittely satamassa'!$D$17</f>
        <v>0</v>
      </c>
      <c r="AA140" s="499">
        <f>J140*'5 Kalan alkukäsittely satamassa'!$D$17</f>
        <v>0</v>
      </c>
      <c r="AB140" s="499">
        <f>K140*'5 Kalan alkukäsittely satamassa'!$D$17</f>
        <v>0</v>
      </c>
      <c r="AC140" s="499">
        <f>L140*'5 Kalan alkukäsittely satamassa'!$D$17</f>
        <v>0</v>
      </c>
      <c r="AD140" s="499">
        <f>M140*'5 Kalan alkukäsittely satamassa'!$D$17</f>
        <v>0</v>
      </c>
      <c r="AE140" s="499">
        <f>N140*'5 Kalan alkukäsittely satamassa'!$D$17</f>
        <v>0</v>
      </c>
      <c r="AF140" s="499">
        <f>O140*'5 Kalan alkukäsittely satamassa'!$D$17</f>
        <v>0</v>
      </c>
      <c r="AG140" s="520">
        <f>P140*'5 Kalan alkukäsittely satamassa'!$D$17</f>
        <v>0</v>
      </c>
      <c r="AI140" s="5" t="s">
        <v>79</v>
      </c>
      <c r="AJ140" s="36" t="s">
        <v>77</v>
      </c>
      <c r="AK140" s="584">
        <f>IF(D140=0,0,BA140/D140)</f>
        <v>0</v>
      </c>
      <c r="AL140" s="1496">
        <v>8</v>
      </c>
      <c r="AM140" s="1511">
        <v>8</v>
      </c>
      <c r="AN140" s="1511">
        <v>8</v>
      </c>
      <c r="AO140" s="1511">
        <v>8</v>
      </c>
      <c r="AP140" s="1511">
        <v>6.08</v>
      </c>
      <c r="AQ140" s="1511">
        <v>5.28</v>
      </c>
      <c r="AR140" s="1511">
        <v>5.65</v>
      </c>
      <c r="AS140" s="1511">
        <v>7.34</v>
      </c>
      <c r="AT140" s="1511">
        <v>4.99</v>
      </c>
      <c r="AU140" s="1511">
        <v>6.19</v>
      </c>
      <c r="AV140" s="1511">
        <v>6.19</v>
      </c>
      <c r="AW140" s="1498">
        <v>3.63</v>
      </c>
      <c r="AY140" s="5" t="s">
        <v>79</v>
      </c>
      <c r="AZ140" s="36" t="s">
        <v>77</v>
      </c>
      <c r="BA140" s="544">
        <f>SUM(BB140:BM140)</f>
        <v>0</v>
      </c>
      <c r="BB140" s="519">
        <f>V140*AL140</f>
        <v>0</v>
      </c>
      <c r="BC140" s="500">
        <f t="shared" si="186"/>
        <v>0</v>
      </c>
      <c r="BD140" s="500">
        <f t="shared" si="186"/>
        <v>0</v>
      </c>
      <c r="BE140" s="500">
        <f t="shared" si="186"/>
        <v>0</v>
      </c>
      <c r="BF140" s="500">
        <f t="shared" si="186"/>
        <v>0</v>
      </c>
      <c r="BG140" s="500">
        <f t="shared" si="186"/>
        <v>0</v>
      </c>
      <c r="BH140" s="500">
        <f t="shared" si="186"/>
        <v>0</v>
      </c>
      <c r="BI140" s="500">
        <f t="shared" si="186"/>
        <v>0</v>
      </c>
      <c r="BJ140" s="500">
        <f t="shared" si="186"/>
        <v>0</v>
      </c>
      <c r="BK140" s="500">
        <f t="shared" si="186"/>
        <v>0</v>
      </c>
      <c r="BL140" s="500">
        <f t="shared" si="186"/>
        <v>0</v>
      </c>
      <c r="BM140" s="529">
        <f t="shared" si="186"/>
        <v>0</v>
      </c>
      <c r="CK140" s="30" t="s">
        <v>2</v>
      </c>
      <c r="CL140" s="1134" t="str">
        <f>'3 Saalis'!CJ136</f>
        <v>0</v>
      </c>
      <c r="CM140" s="8" t="s">
        <v>4</v>
      </c>
      <c r="CN140" s="10"/>
      <c r="CO140" s="455">
        <f>'3 Saalis'!CM136</f>
        <v>0</v>
      </c>
      <c r="CP140" s="8" t="s">
        <v>6</v>
      </c>
      <c r="CQ140" s="18"/>
      <c r="CR140" s="41"/>
      <c r="CS140" s="18"/>
      <c r="CT140" s="10"/>
      <c r="CU140" s="456">
        <f>'3 Saalis'!CS136</f>
        <v>0</v>
      </c>
    </row>
    <row r="141" spans="2:102" ht="13.5" thickBot="1" x14ac:dyDescent="0.25">
      <c r="B141" s="40"/>
      <c r="C141" s="56" t="s">
        <v>84</v>
      </c>
      <c r="D141" s="502">
        <f>SUM(E141:P141)</f>
        <v>0</v>
      </c>
      <c r="E141" s="1483"/>
      <c r="F141" s="1477"/>
      <c r="G141" s="1477"/>
      <c r="H141" s="1477"/>
      <c r="I141" s="1477"/>
      <c r="J141" s="1477"/>
      <c r="K141" s="1477"/>
      <c r="L141" s="1477"/>
      <c r="M141" s="1477"/>
      <c r="N141" s="1477"/>
      <c r="O141" s="1477"/>
      <c r="P141" s="1478"/>
      <c r="S141" s="258"/>
      <c r="T141" s="259" t="s">
        <v>78</v>
      </c>
      <c r="U141" s="417">
        <f>SUM(V141:AG141)</f>
        <v>0</v>
      </c>
      <c r="V141" s="548">
        <f>E141*'5 Kalan alkukäsittely satamassa'!$F$17</f>
        <v>0</v>
      </c>
      <c r="W141" s="549">
        <f>F141*'5 Kalan alkukäsittely satamassa'!$F$17</f>
        <v>0</v>
      </c>
      <c r="X141" s="549">
        <f>G141*'5 Kalan alkukäsittely satamassa'!$F$17</f>
        <v>0</v>
      </c>
      <c r="Y141" s="549">
        <f>H141*'5 Kalan alkukäsittely satamassa'!$F$17</f>
        <v>0</v>
      </c>
      <c r="Z141" s="549">
        <f>I141*'5 Kalan alkukäsittely satamassa'!$F$17</f>
        <v>0</v>
      </c>
      <c r="AA141" s="549">
        <f>J141*'5 Kalan alkukäsittely satamassa'!$F$17</f>
        <v>0</v>
      </c>
      <c r="AB141" s="549">
        <f>K141*'5 Kalan alkukäsittely satamassa'!$F$17</f>
        <v>0</v>
      </c>
      <c r="AC141" s="549">
        <f>L141*'5 Kalan alkukäsittely satamassa'!$F$17</f>
        <v>0</v>
      </c>
      <c r="AD141" s="549">
        <f>M141*'5 Kalan alkukäsittely satamassa'!$F$17</f>
        <v>0</v>
      </c>
      <c r="AE141" s="549">
        <f>N141*'5 Kalan alkukäsittely satamassa'!$F$17</f>
        <v>0</v>
      </c>
      <c r="AF141" s="549">
        <f>O141*'5 Kalan alkukäsittely satamassa'!$F$17</f>
        <v>0</v>
      </c>
      <c r="AG141" s="493">
        <f>P141*'5 Kalan alkukäsittely satamassa'!$F$17</f>
        <v>0</v>
      </c>
      <c r="AI141" s="40"/>
      <c r="AJ141" s="56" t="s">
        <v>78</v>
      </c>
      <c r="AK141" s="590">
        <f>IF(D141=0,0,BA141/D141)</f>
        <v>0</v>
      </c>
      <c r="AL141" s="1504">
        <v>15</v>
      </c>
      <c r="AM141" s="1505">
        <v>15</v>
      </c>
      <c r="AN141" s="1505">
        <v>15</v>
      </c>
      <c r="AO141" s="1505">
        <v>15</v>
      </c>
      <c r="AP141" s="1505">
        <v>15</v>
      </c>
      <c r="AQ141" s="1505">
        <v>15</v>
      </c>
      <c r="AR141" s="1505">
        <v>15</v>
      </c>
      <c r="AS141" s="1505">
        <v>15</v>
      </c>
      <c r="AT141" s="1505">
        <v>15</v>
      </c>
      <c r="AU141" s="1505">
        <v>15</v>
      </c>
      <c r="AV141" s="1505">
        <v>15</v>
      </c>
      <c r="AW141" s="1506">
        <v>15</v>
      </c>
      <c r="AY141" s="40"/>
      <c r="AZ141" s="56" t="s">
        <v>78</v>
      </c>
      <c r="BA141" s="502">
        <f>SUM(BB141:BM141)</f>
        <v>0</v>
      </c>
      <c r="BB141" s="536">
        <f>V141*AL141</f>
        <v>0</v>
      </c>
      <c r="BC141" s="537">
        <f t="shared" si="186"/>
        <v>0</v>
      </c>
      <c r="BD141" s="537">
        <f t="shared" si="186"/>
        <v>0</v>
      </c>
      <c r="BE141" s="537">
        <f t="shared" si="186"/>
        <v>0</v>
      </c>
      <c r="BF141" s="537">
        <f t="shared" si="186"/>
        <v>0</v>
      </c>
      <c r="BG141" s="537">
        <f t="shared" si="186"/>
        <v>0</v>
      </c>
      <c r="BH141" s="537">
        <f t="shared" si="186"/>
        <v>0</v>
      </c>
      <c r="BI141" s="537">
        <f t="shared" si="186"/>
        <v>0</v>
      </c>
      <c r="BJ141" s="537">
        <f t="shared" si="186"/>
        <v>0</v>
      </c>
      <c r="BK141" s="537">
        <f t="shared" si="186"/>
        <v>0</v>
      </c>
      <c r="BL141" s="537">
        <f t="shared" si="186"/>
        <v>0</v>
      </c>
      <c r="BM141" s="538">
        <f t="shared" si="186"/>
        <v>0</v>
      </c>
      <c r="CK141" s="30" t="s">
        <v>3</v>
      </c>
      <c r="CL141" s="1134" t="str">
        <f>'3 Saalis'!CJ137</f>
        <v>0</v>
      </c>
      <c r="CM141" s="8" t="s">
        <v>38</v>
      </c>
      <c r="CN141" s="10"/>
      <c r="CO141" s="455">
        <f>'3 Saalis'!CM137</f>
        <v>0</v>
      </c>
      <c r="CP141" s="40" t="s">
        <v>26</v>
      </c>
      <c r="CQ141" s="14"/>
      <c r="CR141" s="14"/>
      <c r="CS141" s="14"/>
      <c r="CT141" s="17"/>
      <c r="CU141" s="455">
        <f>'3 Saalis'!CS137</f>
        <v>0</v>
      </c>
    </row>
    <row r="142" spans="2:102" ht="13.5" thickBot="1" x14ac:dyDescent="0.25">
      <c r="B142" s="40" t="s">
        <v>80</v>
      </c>
      <c r="C142" s="1485"/>
      <c r="D142" s="452">
        <f>SUM(E142:P142)</f>
        <v>0</v>
      </c>
      <c r="E142" s="1490"/>
      <c r="F142" s="1491"/>
      <c r="G142" s="1491"/>
      <c r="H142" s="1491"/>
      <c r="I142" s="1491"/>
      <c r="J142" s="1491"/>
      <c r="K142" s="1491"/>
      <c r="L142" s="1491"/>
      <c r="M142" s="1491"/>
      <c r="N142" s="1491"/>
      <c r="O142" s="1491"/>
      <c r="P142" s="1492"/>
      <c r="S142" s="258" t="s">
        <v>80</v>
      </c>
      <c r="T142" s="1133">
        <f>C142</f>
        <v>0</v>
      </c>
      <c r="U142" s="550">
        <f>SUM(V142:AG142)</f>
        <v>0</v>
      </c>
      <c r="V142" s="545">
        <f t="shared" ref="V142:AG142" si="187">E142</f>
        <v>0</v>
      </c>
      <c r="W142" s="551">
        <f t="shared" si="187"/>
        <v>0</v>
      </c>
      <c r="X142" s="551">
        <f t="shared" si="187"/>
        <v>0</v>
      </c>
      <c r="Y142" s="551">
        <f t="shared" si="187"/>
        <v>0</v>
      </c>
      <c r="Z142" s="551">
        <f t="shared" si="187"/>
        <v>0</v>
      </c>
      <c r="AA142" s="551">
        <f t="shared" si="187"/>
        <v>0</v>
      </c>
      <c r="AB142" s="551">
        <f t="shared" si="187"/>
        <v>0</v>
      </c>
      <c r="AC142" s="551">
        <f t="shared" si="187"/>
        <v>0</v>
      </c>
      <c r="AD142" s="551">
        <f t="shared" si="187"/>
        <v>0</v>
      </c>
      <c r="AE142" s="551">
        <f t="shared" si="187"/>
        <v>0</v>
      </c>
      <c r="AF142" s="551">
        <f t="shared" si="187"/>
        <v>0</v>
      </c>
      <c r="AG142" s="552">
        <f t="shared" si="187"/>
        <v>0</v>
      </c>
      <c r="AI142" s="40" t="s">
        <v>80</v>
      </c>
      <c r="AJ142" s="1133">
        <f>T142</f>
        <v>0</v>
      </c>
      <c r="AK142" s="584">
        <f>IF(D142=0,0,BA142/D142)</f>
        <v>0</v>
      </c>
      <c r="AL142" s="1516"/>
      <c r="AM142" s="1517"/>
      <c r="AN142" s="1517"/>
      <c r="AO142" s="1517"/>
      <c r="AP142" s="1517"/>
      <c r="AQ142" s="1517"/>
      <c r="AR142" s="1517"/>
      <c r="AS142" s="1517"/>
      <c r="AT142" s="1517"/>
      <c r="AU142" s="1517"/>
      <c r="AV142" s="1517"/>
      <c r="AW142" s="1518"/>
      <c r="AY142" s="8" t="s">
        <v>80</v>
      </c>
      <c r="AZ142" s="1133">
        <f>AJ142</f>
        <v>0</v>
      </c>
      <c r="BA142" s="494">
        <f>SUM(BB142:BM142)</f>
        <v>0</v>
      </c>
      <c r="BB142" s="522">
        <f>V142*AL142</f>
        <v>0</v>
      </c>
      <c r="BC142" s="517">
        <f t="shared" si="186"/>
        <v>0</v>
      </c>
      <c r="BD142" s="517">
        <f t="shared" si="186"/>
        <v>0</v>
      </c>
      <c r="BE142" s="517">
        <f t="shared" si="186"/>
        <v>0</v>
      </c>
      <c r="BF142" s="517">
        <f t="shared" si="186"/>
        <v>0</v>
      </c>
      <c r="BG142" s="517">
        <f t="shared" si="186"/>
        <v>0</v>
      </c>
      <c r="BH142" s="517">
        <f t="shared" si="186"/>
        <v>0</v>
      </c>
      <c r="BI142" s="517">
        <f t="shared" si="186"/>
        <v>0</v>
      </c>
      <c r="BJ142" s="517">
        <f t="shared" si="186"/>
        <v>0</v>
      </c>
      <c r="BK142" s="517">
        <f t="shared" si="186"/>
        <v>0</v>
      </c>
      <c r="BL142" s="517">
        <f t="shared" si="186"/>
        <v>0</v>
      </c>
      <c r="BM142" s="539">
        <f t="shared" si="186"/>
        <v>0</v>
      </c>
      <c r="CK142" s="34"/>
      <c r="CL142" s="34"/>
      <c r="CM142" s="45"/>
      <c r="CN142" s="34"/>
      <c r="CP142" s="46"/>
      <c r="CQ142" s="34"/>
      <c r="CV142" s="34"/>
    </row>
    <row r="143" spans="2:102" ht="13.5" thickBot="1" x14ac:dyDescent="0.25">
      <c r="B143" s="8" t="s">
        <v>72</v>
      </c>
      <c r="C143" s="10"/>
      <c r="D143" s="416">
        <f t="shared" ref="D143:O143" si="188">D137-SUM(D138:D142)</f>
        <v>0</v>
      </c>
      <c r="E143" s="507">
        <f>E137-SUM(E138:E142)</f>
        <v>0</v>
      </c>
      <c r="F143" s="508">
        <f t="shared" si="188"/>
        <v>0</v>
      </c>
      <c r="G143" s="508">
        <f t="shared" si="188"/>
        <v>0</v>
      </c>
      <c r="H143" s="508">
        <f t="shared" si="188"/>
        <v>0</v>
      </c>
      <c r="I143" s="508">
        <f t="shared" si="188"/>
        <v>0</v>
      </c>
      <c r="J143" s="508">
        <f t="shared" si="188"/>
        <v>0</v>
      </c>
      <c r="K143" s="508">
        <f t="shared" si="188"/>
        <v>0</v>
      </c>
      <c r="L143" s="508">
        <f t="shared" si="188"/>
        <v>0</v>
      </c>
      <c r="M143" s="508">
        <f t="shared" si="188"/>
        <v>0</v>
      </c>
      <c r="N143" s="508">
        <f t="shared" si="188"/>
        <v>0</v>
      </c>
      <c r="O143" s="508">
        <f t="shared" si="188"/>
        <v>0</v>
      </c>
      <c r="P143" s="497">
        <f>P137-SUM(P138:P142)</f>
        <v>0</v>
      </c>
      <c r="S143" s="258" t="s">
        <v>113</v>
      </c>
      <c r="T143" s="265"/>
      <c r="U143" s="416">
        <f>SUM(U138:U142)</f>
        <v>0</v>
      </c>
      <c r="V143" s="522">
        <f>SUM(V138:V142)</f>
        <v>0</v>
      </c>
      <c r="W143" s="517">
        <f>SUM(W138:W142)</f>
        <v>0</v>
      </c>
      <c r="X143" s="517">
        <f t="shared" ref="X143:AG143" si="189">SUM(X138:X142)</f>
        <v>0</v>
      </c>
      <c r="Y143" s="517">
        <f t="shared" si="189"/>
        <v>0</v>
      </c>
      <c r="Z143" s="517">
        <f t="shared" si="189"/>
        <v>0</v>
      </c>
      <c r="AA143" s="517">
        <f t="shared" si="189"/>
        <v>0</v>
      </c>
      <c r="AB143" s="517">
        <f t="shared" si="189"/>
        <v>0</v>
      </c>
      <c r="AC143" s="517">
        <f t="shared" si="189"/>
        <v>0</v>
      </c>
      <c r="AD143" s="517">
        <f t="shared" si="189"/>
        <v>0</v>
      </c>
      <c r="AE143" s="517">
        <f t="shared" si="189"/>
        <v>0</v>
      </c>
      <c r="AF143" s="517">
        <f t="shared" si="189"/>
        <v>0</v>
      </c>
      <c r="AG143" s="539">
        <f t="shared" si="189"/>
        <v>0</v>
      </c>
      <c r="AI143" s="40" t="s">
        <v>99</v>
      </c>
      <c r="AJ143" s="10"/>
      <c r="AK143" s="578">
        <f>IF(BA137=0,0,BA143/BA137)</f>
        <v>0</v>
      </c>
      <c r="AL143" s="580">
        <f>IF(BB137=0,0,BB143/BB137)</f>
        <v>0</v>
      </c>
      <c r="AM143" s="581">
        <f t="shared" ref="AM143:AW143" si="190">IF(BC137=0,0,BC143/BC137)</f>
        <v>0</v>
      </c>
      <c r="AN143" s="581">
        <f t="shared" si="190"/>
        <v>0</v>
      </c>
      <c r="AO143" s="581">
        <f t="shared" si="190"/>
        <v>0</v>
      </c>
      <c r="AP143" s="581">
        <f t="shared" si="190"/>
        <v>0</v>
      </c>
      <c r="AQ143" s="581">
        <f t="shared" si="190"/>
        <v>0</v>
      </c>
      <c r="AR143" s="581">
        <f t="shared" si="190"/>
        <v>0</v>
      </c>
      <c r="AS143" s="581">
        <f t="shared" si="190"/>
        <v>0</v>
      </c>
      <c r="AT143" s="581">
        <f t="shared" si="190"/>
        <v>0</v>
      </c>
      <c r="AU143" s="581">
        <f t="shared" si="190"/>
        <v>0</v>
      </c>
      <c r="AV143" s="581">
        <f t="shared" si="190"/>
        <v>0</v>
      </c>
      <c r="AW143" s="582">
        <f t="shared" si="190"/>
        <v>0</v>
      </c>
      <c r="AY143" s="40" t="s">
        <v>98</v>
      </c>
      <c r="AZ143" s="10"/>
      <c r="BA143" s="416">
        <f>SUM(BA138:BA142)</f>
        <v>0</v>
      </c>
      <c r="BB143" s="548">
        <f>SUM(BB138:BB142)</f>
        <v>0</v>
      </c>
      <c r="BC143" s="553">
        <f>SUM(BC138:BC142)</f>
        <v>0</v>
      </c>
      <c r="BD143" s="553">
        <f t="shared" ref="BD143:BL143" si="191">SUM(BD138:BD142)</f>
        <v>0</v>
      </c>
      <c r="BE143" s="553">
        <f t="shared" si="191"/>
        <v>0</v>
      </c>
      <c r="BF143" s="553">
        <f t="shared" si="191"/>
        <v>0</v>
      </c>
      <c r="BG143" s="553">
        <f t="shared" si="191"/>
        <v>0</v>
      </c>
      <c r="BH143" s="553">
        <f t="shared" si="191"/>
        <v>0</v>
      </c>
      <c r="BI143" s="553">
        <f t="shared" si="191"/>
        <v>0</v>
      </c>
      <c r="BJ143" s="553">
        <f t="shared" si="191"/>
        <v>0</v>
      </c>
      <c r="BK143" s="553">
        <f t="shared" si="191"/>
        <v>0</v>
      </c>
      <c r="BL143" s="553">
        <f t="shared" si="191"/>
        <v>0</v>
      </c>
      <c r="BM143" s="554">
        <f>SUM(BM138:BM142)</f>
        <v>0</v>
      </c>
      <c r="CK143" s="44" t="s">
        <v>380</v>
      </c>
      <c r="CL143" s="52" t="s">
        <v>40</v>
      </c>
      <c r="CM143" s="47"/>
      <c r="CN143" s="48"/>
      <c r="CO143" s="48"/>
      <c r="CP143" s="48"/>
      <c r="CQ143" s="48"/>
      <c r="CR143" s="41" t="s">
        <v>42</v>
      </c>
      <c r="CS143" s="48"/>
      <c r="CT143" s="48"/>
      <c r="CU143" s="48"/>
      <c r="CV143" s="48"/>
      <c r="CW143" s="48"/>
      <c r="CX143" s="49"/>
    </row>
    <row r="144" spans="2:102" ht="13.5" thickBot="1" x14ac:dyDescent="0.25">
      <c r="E144" s="794" t="str">
        <f t="shared" ref="E144:P144" si="192">IF(E143&lt;0,"Ylimyynti!!!"," ")</f>
        <v xml:space="preserve"> </v>
      </c>
      <c r="F144" s="794" t="str">
        <f t="shared" si="192"/>
        <v xml:space="preserve"> </v>
      </c>
      <c r="G144" s="794" t="str">
        <f t="shared" si="192"/>
        <v xml:space="preserve"> </v>
      </c>
      <c r="H144" s="794" t="str">
        <f t="shared" si="192"/>
        <v xml:space="preserve"> </v>
      </c>
      <c r="I144" s="794" t="str">
        <f t="shared" si="192"/>
        <v xml:space="preserve"> </v>
      </c>
      <c r="J144" s="794" t="str">
        <f t="shared" si="192"/>
        <v xml:space="preserve"> </v>
      </c>
      <c r="K144" s="794" t="str">
        <f t="shared" si="192"/>
        <v xml:space="preserve"> </v>
      </c>
      <c r="L144" s="794" t="str">
        <f t="shared" si="192"/>
        <v xml:space="preserve"> </v>
      </c>
      <c r="M144" s="794" t="str">
        <f t="shared" si="192"/>
        <v xml:space="preserve"> </v>
      </c>
      <c r="N144" s="794" t="str">
        <f t="shared" si="192"/>
        <v xml:space="preserve"> </v>
      </c>
      <c r="O144" s="794" t="str">
        <f t="shared" si="192"/>
        <v xml:space="preserve"> </v>
      </c>
      <c r="P144" s="794" t="str">
        <f t="shared" si="192"/>
        <v xml:space="preserve"> </v>
      </c>
      <c r="CK144" s="54"/>
      <c r="CL144" s="55" t="s">
        <v>41</v>
      </c>
      <c r="CM144" s="72">
        <v>1</v>
      </c>
      <c r="CN144" s="70">
        <v>2</v>
      </c>
      <c r="CO144" s="70">
        <v>3</v>
      </c>
      <c r="CP144" s="70">
        <v>4</v>
      </c>
      <c r="CQ144" s="70">
        <v>5</v>
      </c>
      <c r="CR144" s="70">
        <v>6</v>
      </c>
      <c r="CS144" s="70">
        <v>7</v>
      </c>
      <c r="CT144" s="70">
        <v>8</v>
      </c>
      <c r="CU144" s="70">
        <v>9</v>
      </c>
      <c r="CV144" s="70">
        <v>10</v>
      </c>
      <c r="CW144" s="70">
        <v>11</v>
      </c>
      <c r="CX144" s="71">
        <v>12</v>
      </c>
    </row>
    <row r="145" spans="2:102" ht="13.5" thickBot="1" x14ac:dyDescent="0.25">
      <c r="B145" s="5" t="s">
        <v>353</v>
      </c>
      <c r="C145" s="36"/>
      <c r="D145" s="249" t="s">
        <v>40</v>
      </c>
      <c r="E145" s="245"/>
      <c r="F145" s="246"/>
      <c r="G145" s="246"/>
      <c r="H145" s="246"/>
      <c r="I145" s="246"/>
      <c r="J145" s="219" t="s">
        <v>42</v>
      </c>
      <c r="K145" s="246"/>
      <c r="L145" s="246"/>
      <c r="M145" s="246"/>
      <c r="N145" s="246"/>
      <c r="O145" s="246"/>
      <c r="P145" s="247"/>
      <c r="Q145" s="250"/>
      <c r="S145" s="251" t="s">
        <v>353</v>
      </c>
      <c r="T145" s="252"/>
      <c r="U145" s="249" t="s">
        <v>40</v>
      </c>
      <c r="V145" s="245"/>
      <c r="W145" s="246"/>
      <c r="X145" s="246"/>
      <c r="Y145" s="246"/>
      <c r="Z145" s="246"/>
      <c r="AA145" s="219" t="s">
        <v>42</v>
      </c>
      <c r="AB145" s="246"/>
      <c r="AC145" s="246"/>
      <c r="AD145" s="246"/>
      <c r="AE145" s="246"/>
      <c r="AF145" s="246"/>
      <c r="AG145" s="247"/>
      <c r="AI145" s="5" t="s">
        <v>353</v>
      </c>
      <c r="AJ145" s="36"/>
      <c r="AK145" s="51" t="s">
        <v>40</v>
      </c>
      <c r="AL145" s="47"/>
      <c r="AM145" s="48"/>
      <c r="AN145" s="48"/>
      <c r="AO145" s="48"/>
      <c r="AP145" s="48"/>
      <c r="AQ145" s="41" t="s">
        <v>42</v>
      </c>
      <c r="AR145" s="48"/>
      <c r="AS145" s="48"/>
      <c r="AT145" s="48"/>
      <c r="AU145" s="48"/>
      <c r="AV145" s="48"/>
      <c r="AW145" s="49"/>
      <c r="AY145" s="5" t="s">
        <v>353</v>
      </c>
      <c r="AZ145" s="36"/>
      <c r="BA145" s="249" t="s">
        <v>40</v>
      </c>
      <c r="BB145" s="245"/>
      <c r="BC145" s="246"/>
      <c r="BD145" s="246"/>
      <c r="BE145" s="246"/>
      <c r="BF145" s="246"/>
      <c r="BG145" s="219" t="s">
        <v>42</v>
      </c>
      <c r="BH145" s="246"/>
      <c r="BI145" s="246"/>
      <c r="BJ145" s="246"/>
      <c r="BK145" s="246"/>
      <c r="BL145" s="246"/>
      <c r="BM145" s="247"/>
      <c r="CK145" s="5" t="s">
        <v>100</v>
      </c>
      <c r="CL145" s="432">
        <f>SUM(CM145:CX145)</f>
        <v>0</v>
      </c>
      <c r="CM145" s="433">
        <f>CM7*'3 Saalis'!CK141</f>
        <v>0</v>
      </c>
      <c r="CN145" s="434">
        <f>CN7*'3 Saalis'!CL141</f>
        <v>0</v>
      </c>
      <c r="CO145" s="434">
        <f>CO7*'3 Saalis'!CM141</f>
        <v>0</v>
      </c>
      <c r="CP145" s="434">
        <f>CP7*'3 Saalis'!CN141</f>
        <v>0</v>
      </c>
      <c r="CQ145" s="434">
        <f>CQ7*'3 Saalis'!CO141</f>
        <v>0</v>
      </c>
      <c r="CR145" s="434">
        <f>CR7*'3 Saalis'!CP141</f>
        <v>0</v>
      </c>
      <c r="CS145" s="434">
        <f>CS7*'3 Saalis'!CQ141</f>
        <v>0</v>
      </c>
      <c r="CT145" s="434">
        <f>CT7*'3 Saalis'!CR141</f>
        <v>0</v>
      </c>
      <c r="CU145" s="434">
        <f>CU7*'3 Saalis'!CS141</f>
        <v>0</v>
      </c>
      <c r="CV145" s="434">
        <f>CV7*'3 Saalis'!CT141</f>
        <v>0</v>
      </c>
      <c r="CW145" s="434">
        <f>CW7*'3 Saalis'!CU141</f>
        <v>0</v>
      </c>
      <c r="CX145" s="435">
        <f>CX7*'3 Saalis'!CV141</f>
        <v>0</v>
      </c>
    </row>
    <row r="146" spans="2:102" ht="13.5" thickBot="1" x14ac:dyDescent="0.25">
      <c r="B146" s="57"/>
      <c r="C146" s="59"/>
      <c r="D146" s="253" t="s">
        <v>41</v>
      </c>
      <c r="E146" s="254">
        <v>1</v>
      </c>
      <c r="F146" s="70">
        <v>2</v>
      </c>
      <c r="G146" s="70">
        <v>3</v>
      </c>
      <c r="H146" s="70">
        <v>4</v>
      </c>
      <c r="I146" s="70">
        <v>5</v>
      </c>
      <c r="J146" s="70">
        <v>6</v>
      </c>
      <c r="K146" s="70">
        <v>7</v>
      </c>
      <c r="L146" s="70">
        <v>8</v>
      </c>
      <c r="M146" s="70">
        <v>9</v>
      </c>
      <c r="N146" s="70">
        <v>10</v>
      </c>
      <c r="O146" s="70">
        <v>11</v>
      </c>
      <c r="P146" s="71">
        <v>12</v>
      </c>
      <c r="Q146" s="87"/>
      <c r="S146" s="255"/>
      <c r="T146" s="256"/>
      <c r="U146" s="253" t="s">
        <v>41</v>
      </c>
      <c r="V146" s="254">
        <v>1</v>
      </c>
      <c r="W146" s="70">
        <v>2</v>
      </c>
      <c r="X146" s="70">
        <v>3</v>
      </c>
      <c r="Y146" s="70">
        <v>4</v>
      </c>
      <c r="Z146" s="70">
        <v>5</v>
      </c>
      <c r="AA146" s="70">
        <v>6</v>
      </c>
      <c r="AB146" s="70">
        <v>7</v>
      </c>
      <c r="AC146" s="70">
        <v>8</v>
      </c>
      <c r="AD146" s="70">
        <v>9</v>
      </c>
      <c r="AE146" s="70">
        <v>10</v>
      </c>
      <c r="AF146" s="70">
        <v>11</v>
      </c>
      <c r="AG146" s="71">
        <v>12</v>
      </c>
      <c r="AI146" s="57"/>
      <c r="AJ146" s="59"/>
      <c r="AK146" s="69" t="s">
        <v>41</v>
      </c>
      <c r="AL146" s="72">
        <v>1</v>
      </c>
      <c r="AM146" s="70">
        <v>2</v>
      </c>
      <c r="AN146" s="70">
        <v>3</v>
      </c>
      <c r="AO146" s="70">
        <v>4</v>
      </c>
      <c r="AP146" s="70">
        <v>5</v>
      </c>
      <c r="AQ146" s="70">
        <v>6</v>
      </c>
      <c r="AR146" s="70">
        <v>7</v>
      </c>
      <c r="AS146" s="70">
        <v>8</v>
      </c>
      <c r="AT146" s="70">
        <v>9</v>
      </c>
      <c r="AU146" s="70">
        <v>10</v>
      </c>
      <c r="AV146" s="70">
        <v>11</v>
      </c>
      <c r="AW146" s="71">
        <v>12</v>
      </c>
      <c r="AY146" s="57"/>
      <c r="AZ146" s="59"/>
      <c r="BA146" s="253" t="s">
        <v>41</v>
      </c>
      <c r="BB146" s="254">
        <v>1</v>
      </c>
      <c r="BC146" s="70">
        <v>2</v>
      </c>
      <c r="BD146" s="70">
        <v>3</v>
      </c>
      <c r="BE146" s="70">
        <v>4</v>
      </c>
      <c r="BF146" s="70">
        <v>5</v>
      </c>
      <c r="BG146" s="70">
        <v>6</v>
      </c>
      <c r="BH146" s="70">
        <v>7</v>
      </c>
      <c r="BI146" s="70">
        <v>8</v>
      </c>
      <c r="BJ146" s="70">
        <v>9</v>
      </c>
      <c r="BK146" s="70">
        <v>10</v>
      </c>
      <c r="BL146" s="70">
        <v>11</v>
      </c>
      <c r="BM146" s="71">
        <v>12</v>
      </c>
      <c r="CK146" s="57" t="s">
        <v>108</v>
      </c>
      <c r="CL146" s="436">
        <f t="shared" ref="CL146:CL155" si="193">SUM(CM146:CX146)</f>
        <v>0</v>
      </c>
      <c r="CM146" s="437">
        <f>CM8*'3 Saalis'!CK142</f>
        <v>0</v>
      </c>
      <c r="CN146" s="438">
        <f>CN8*'3 Saalis'!CL142</f>
        <v>0</v>
      </c>
      <c r="CO146" s="438">
        <f>CO8*'3 Saalis'!CM142</f>
        <v>0</v>
      </c>
      <c r="CP146" s="438">
        <f>CP8*'3 Saalis'!CN142</f>
        <v>0</v>
      </c>
      <c r="CQ146" s="438">
        <f>CQ8*'3 Saalis'!CO142</f>
        <v>0</v>
      </c>
      <c r="CR146" s="438">
        <f>CR8*'3 Saalis'!CP142</f>
        <v>0</v>
      </c>
      <c r="CS146" s="438">
        <f>CS8*'3 Saalis'!CQ142</f>
        <v>0</v>
      </c>
      <c r="CT146" s="438">
        <f>CT8*'3 Saalis'!CR142</f>
        <v>0</v>
      </c>
      <c r="CU146" s="438">
        <f>CU8*'3 Saalis'!CS142</f>
        <v>0</v>
      </c>
      <c r="CV146" s="438">
        <f>CV8*'3 Saalis'!CT142</f>
        <v>0</v>
      </c>
      <c r="CW146" s="438">
        <f>CW8*'3 Saalis'!CU142</f>
        <v>0</v>
      </c>
      <c r="CX146" s="439">
        <f>CX8*'3 Saalis'!CV142</f>
        <v>0</v>
      </c>
    </row>
    <row r="147" spans="2:102" ht="13.5" thickBot="1" x14ac:dyDescent="0.25">
      <c r="B147" s="8" t="s">
        <v>73</v>
      </c>
      <c r="C147" s="58"/>
      <c r="D147" s="423">
        <f>'3 Saalis'!D17</f>
        <v>0</v>
      </c>
      <c r="E147" s="461">
        <f>'3 Saalis'!E17</f>
        <v>0</v>
      </c>
      <c r="F147" s="453">
        <f>'3 Saalis'!F17</f>
        <v>0</v>
      </c>
      <c r="G147" s="453">
        <f>'3 Saalis'!G17</f>
        <v>0</v>
      </c>
      <c r="H147" s="453">
        <f>'3 Saalis'!H17</f>
        <v>0</v>
      </c>
      <c r="I147" s="453">
        <f>'3 Saalis'!I17</f>
        <v>0</v>
      </c>
      <c r="J147" s="453">
        <f>'3 Saalis'!J17</f>
        <v>0</v>
      </c>
      <c r="K147" s="453">
        <f>'3 Saalis'!K17</f>
        <v>0</v>
      </c>
      <c r="L147" s="453">
        <f>'3 Saalis'!L17</f>
        <v>0</v>
      </c>
      <c r="M147" s="453">
        <f>'3 Saalis'!M17</f>
        <v>0</v>
      </c>
      <c r="N147" s="453">
        <f>'3 Saalis'!N17</f>
        <v>0</v>
      </c>
      <c r="O147" s="453">
        <f>'3 Saalis'!O17</f>
        <v>0</v>
      </c>
      <c r="P147" s="454">
        <f>'3 Saalis'!P17</f>
        <v>0</v>
      </c>
      <c r="Q147" s="257"/>
      <c r="S147" s="260" t="s">
        <v>73</v>
      </c>
      <c r="T147" s="261"/>
      <c r="U147" s="423">
        <f>'3 Saalis'!V17</f>
        <v>0</v>
      </c>
      <c r="V147" s="528">
        <f>'3 Saalis'!W17</f>
        <v>0</v>
      </c>
      <c r="W147" s="488">
        <f>'3 Saalis'!X17</f>
        <v>0</v>
      </c>
      <c r="X147" s="488">
        <f>'3 Saalis'!Y17</f>
        <v>0</v>
      </c>
      <c r="Y147" s="488">
        <f>'3 Saalis'!Z17</f>
        <v>0</v>
      </c>
      <c r="Z147" s="488">
        <f>'3 Saalis'!AA17</f>
        <v>0</v>
      </c>
      <c r="AA147" s="488">
        <f>'3 Saalis'!AB17</f>
        <v>0</v>
      </c>
      <c r="AB147" s="488">
        <f>'3 Saalis'!AC17</f>
        <v>0</v>
      </c>
      <c r="AC147" s="488">
        <f>'3 Saalis'!AD17</f>
        <v>0</v>
      </c>
      <c r="AD147" s="488">
        <f>'3 Saalis'!AE17</f>
        <v>0</v>
      </c>
      <c r="AE147" s="488">
        <f>'3 Saalis'!AF17</f>
        <v>0</v>
      </c>
      <c r="AF147" s="488">
        <f>'3 Saalis'!AG17</f>
        <v>0</v>
      </c>
      <c r="AG147" s="489">
        <f>'3 Saalis'!AH17</f>
        <v>0</v>
      </c>
      <c r="AI147" s="8" t="s">
        <v>73</v>
      </c>
      <c r="AJ147" s="58"/>
      <c r="AK147" s="424">
        <f t="shared" ref="AK147:AW147" si="194">D147</f>
        <v>0</v>
      </c>
      <c r="AL147" s="583">
        <f t="shared" si="194"/>
        <v>0</v>
      </c>
      <c r="AM147" s="583">
        <f t="shared" si="194"/>
        <v>0</v>
      </c>
      <c r="AN147" s="583">
        <f t="shared" si="194"/>
        <v>0</v>
      </c>
      <c r="AO147" s="583">
        <f t="shared" si="194"/>
        <v>0</v>
      </c>
      <c r="AP147" s="583">
        <f t="shared" si="194"/>
        <v>0</v>
      </c>
      <c r="AQ147" s="583">
        <f t="shared" si="194"/>
        <v>0</v>
      </c>
      <c r="AR147" s="583">
        <f t="shared" si="194"/>
        <v>0</v>
      </c>
      <c r="AS147" s="583">
        <f t="shared" si="194"/>
        <v>0</v>
      </c>
      <c r="AT147" s="583">
        <f t="shared" si="194"/>
        <v>0</v>
      </c>
      <c r="AU147" s="583">
        <f t="shared" si="194"/>
        <v>0</v>
      </c>
      <c r="AV147" s="583">
        <f t="shared" si="194"/>
        <v>0</v>
      </c>
      <c r="AW147" s="1135">
        <f t="shared" si="194"/>
        <v>0</v>
      </c>
      <c r="AY147" s="8" t="s">
        <v>73</v>
      </c>
      <c r="AZ147" s="58"/>
      <c r="BA147" s="423">
        <f t="shared" ref="BA147:BM147" si="195">AK147</f>
        <v>0</v>
      </c>
      <c r="BB147" s="488">
        <f t="shared" si="195"/>
        <v>0</v>
      </c>
      <c r="BC147" s="488">
        <f t="shared" si="195"/>
        <v>0</v>
      </c>
      <c r="BD147" s="488">
        <f t="shared" si="195"/>
        <v>0</v>
      </c>
      <c r="BE147" s="488">
        <f t="shared" si="195"/>
        <v>0</v>
      </c>
      <c r="BF147" s="488">
        <f t="shared" si="195"/>
        <v>0</v>
      </c>
      <c r="BG147" s="488">
        <f t="shared" si="195"/>
        <v>0</v>
      </c>
      <c r="BH147" s="488">
        <f t="shared" si="195"/>
        <v>0</v>
      </c>
      <c r="BI147" s="488">
        <f t="shared" si="195"/>
        <v>0</v>
      </c>
      <c r="BJ147" s="488">
        <f t="shared" si="195"/>
        <v>0</v>
      </c>
      <c r="BK147" s="488">
        <f t="shared" si="195"/>
        <v>0</v>
      </c>
      <c r="BL147" s="488">
        <f t="shared" si="195"/>
        <v>0</v>
      </c>
      <c r="BM147" s="489">
        <f t="shared" si="195"/>
        <v>0</v>
      </c>
      <c r="CK147" s="57" t="s">
        <v>101</v>
      </c>
      <c r="CL147" s="436">
        <f t="shared" si="193"/>
        <v>0</v>
      </c>
      <c r="CM147" s="437">
        <f>CM9*'3 Saalis'!CK143</f>
        <v>0</v>
      </c>
      <c r="CN147" s="438">
        <f>CN9*'3 Saalis'!CL143</f>
        <v>0</v>
      </c>
      <c r="CO147" s="438">
        <f>CO9*'3 Saalis'!CM143</f>
        <v>0</v>
      </c>
      <c r="CP147" s="438">
        <f>CP9*'3 Saalis'!CN143</f>
        <v>0</v>
      </c>
      <c r="CQ147" s="438">
        <f>CQ9*'3 Saalis'!CO143</f>
        <v>0</v>
      </c>
      <c r="CR147" s="438">
        <f>CR9*'3 Saalis'!CP143</f>
        <v>0</v>
      </c>
      <c r="CS147" s="438">
        <f>CS9*'3 Saalis'!CQ143</f>
        <v>0</v>
      </c>
      <c r="CT147" s="438">
        <f>CT9*'3 Saalis'!CR143</f>
        <v>0</v>
      </c>
      <c r="CU147" s="438">
        <f>CU9*'3 Saalis'!CS143</f>
        <v>0</v>
      </c>
      <c r="CV147" s="438">
        <f>CV9*'3 Saalis'!CT143</f>
        <v>0</v>
      </c>
      <c r="CW147" s="438">
        <f>CW9*'3 Saalis'!CU143</f>
        <v>0</v>
      </c>
      <c r="CX147" s="439">
        <f>CX9*'3 Saalis'!CV143</f>
        <v>0</v>
      </c>
    </row>
    <row r="148" spans="2:102" x14ac:dyDescent="0.2">
      <c r="B148" s="57" t="s">
        <v>64</v>
      </c>
      <c r="C148" s="59" t="s">
        <v>76</v>
      </c>
      <c r="D148" s="501">
        <f t="shared" ref="D148:D156" si="196">SUM(E148:P148)</f>
        <v>0</v>
      </c>
      <c r="E148" s="1487"/>
      <c r="F148" s="1488"/>
      <c r="G148" s="1488"/>
      <c r="H148" s="1488"/>
      <c r="I148" s="1488"/>
      <c r="J148" s="1488"/>
      <c r="K148" s="1488"/>
      <c r="L148" s="1488"/>
      <c r="M148" s="1488"/>
      <c r="N148" s="1488"/>
      <c r="O148" s="1488"/>
      <c r="P148" s="1489"/>
      <c r="S148" s="255" t="s">
        <v>64</v>
      </c>
      <c r="T148" s="256" t="s">
        <v>76</v>
      </c>
      <c r="U148" s="544">
        <f t="shared" ref="U148:U156" si="197">SUM(V148:AG148)</f>
        <v>0</v>
      </c>
      <c r="V148" s="519">
        <f t="shared" ref="V148:AG148" si="198">E148</f>
        <v>0</v>
      </c>
      <c r="W148" s="500">
        <f t="shared" si="198"/>
        <v>0</v>
      </c>
      <c r="X148" s="500">
        <f t="shared" si="198"/>
        <v>0</v>
      </c>
      <c r="Y148" s="500">
        <f t="shared" si="198"/>
        <v>0</v>
      </c>
      <c r="Z148" s="500">
        <f t="shared" si="198"/>
        <v>0</v>
      </c>
      <c r="AA148" s="500">
        <f t="shared" si="198"/>
        <v>0</v>
      </c>
      <c r="AB148" s="500">
        <f t="shared" si="198"/>
        <v>0</v>
      </c>
      <c r="AC148" s="500">
        <f t="shared" si="198"/>
        <v>0</v>
      </c>
      <c r="AD148" s="500">
        <f t="shared" si="198"/>
        <v>0</v>
      </c>
      <c r="AE148" s="500">
        <f t="shared" si="198"/>
        <v>0</v>
      </c>
      <c r="AF148" s="500">
        <f t="shared" si="198"/>
        <v>0</v>
      </c>
      <c r="AG148" s="529">
        <f t="shared" si="198"/>
        <v>0</v>
      </c>
      <c r="AI148" s="5" t="s">
        <v>64</v>
      </c>
      <c r="AJ148" s="59" t="s">
        <v>76</v>
      </c>
      <c r="AK148" s="591">
        <f t="shared" ref="AK148:AK156" si="199">IF(D148=0,0,BA148/D148)</f>
        <v>0</v>
      </c>
      <c r="AL148" s="1496">
        <v>0.35</v>
      </c>
      <c r="AM148" s="1511">
        <v>0.45</v>
      </c>
      <c r="AN148" s="1511">
        <v>0.47</v>
      </c>
      <c r="AO148" s="1511">
        <v>0.5</v>
      </c>
      <c r="AP148" s="1511">
        <v>0.35</v>
      </c>
      <c r="AQ148" s="1511">
        <v>0.73</v>
      </c>
      <c r="AR148" s="1511">
        <v>0.14000000000000001</v>
      </c>
      <c r="AS148" s="1511">
        <v>0.33</v>
      </c>
      <c r="AT148" s="1511">
        <v>0.46</v>
      </c>
      <c r="AU148" s="1511">
        <v>0.54</v>
      </c>
      <c r="AV148" s="1511">
        <v>0.77</v>
      </c>
      <c r="AW148" s="1498">
        <v>0.53</v>
      </c>
      <c r="AY148" s="5" t="s">
        <v>64</v>
      </c>
      <c r="AZ148" s="59" t="s">
        <v>76</v>
      </c>
      <c r="BA148" s="544">
        <f t="shared" ref="BA148:BA156" si="200">SUM(BB148:BM148)</f>
        <v>0</v>
      </c>
      <c r="BB148" s="519">
        <f>V148*AL148</f>
        <v>0</v>
      </c>
      <c r="BC148" s="500">
        <f t="shared" ref="BC148:BM156" si="201">W148*AM148</f>
        <v>0</v>
      </c>
      <c r="BD148" s="500">
        <f t="shared" si="201"/>
        <v>0</v>
      </c>
      <c r="BE148" s="500">
        <f t="shared" si="201"/>
        <v>0</v>
      </c>
      <c r="BF148" s="500">
        <f t="shared" si="201"/>
        <v>0</v>
      </c>
      <c r="BG148" s="500">
        <f t="shared" si="201"/>
        <v>0</v>
      </c>
      <c r="BH148" s="500">
        <f t="shared" si="201"/>
        <v>0</v>
      </c>
      <c r="BI148" s="500">
        <f t="shared" si="201"/>
        <v>0</v>
      </c>
      <c r="BJ148" s="500">
        <f t="shared" si="201"/>
        <v>0</v>
      </c>
      <c r="BK148" s="500">
        <f t="shared" si="201"/>
        <v>0</v>
      </c>
      <c r="BL148" s="500">
        <f t="shared" si="201"/>
        <v>0</v>
      </c>
      <c r="BM148" s="529">
        <f t="shared" si="201"/>
        <v>0</v>
      </c>
      <c r="CK148" s="57" t="s">
        <v>102</v>
      </c>
      <c r="CL148" s="436">
        <f t="shared" si="193"/>
        <v>0</v>
      </c>
      <c r="CM148" s="437">
        <f>CM10*'3 Saalis'!CK144</f>
        <v>0</v>
      </c>
      <c r="CN148" s="438">
        <f>CN10*'3 Saalis'!CL144</f>
        <v>0</v>
      </c>
      <c r="CO148" s="438">
        <f>CO10*'3 Saalis'!CM144</f>
        <v>0</v>
      </c>
      <c r="CP148" s="438">
        <f>CP10*'3 Saalis'!CN144</f>
        <v>0</v>
      </c>
      <c r="CQ148" s="438">
        <f>CQ10*'3 Saalis'!CO144</f>
        <v>0</v>
      </c>
      <c r="CR148" s="438">
        <f>CR10*'3 Saalis'!CP144</f>
        <v>0</v>
      </c>
      <c r="CS148" s="438">
        <f>CS10*'3 Saalis'!CQ144</f>
        <v>0</v>
      </c>
      <c r="CT148" s="438">
        <f>CT10*'3 Saalis'!CR144</f>
        <v>0</v>
      </c>
      <c r="CU148" s="438">
        <f>CU10*'3 Saalis'!CS144</f>
        <v>0</v>
      </c>
      <c r="CV148" s="438">
        <f>CV10*'3 Saalis'!CT144</f>
        <v>0</v>
      </c>
      <c r="CW148" s="438">
        <f>CW10*'3 Saalis'!CU144</f>
        <v>0</v>
      </c>
      <c r="CX148" s="439">
        <f>CX10*'3 Saalis'!CV144</f>
        <v>0</v>
      </c>
    </row>
    <row r="149" spans="2:102" x14ac:dyDescent="0.2">
      <c r="B149" s="57"/>
      <c r="C149" s="59" t="s">
        <v>77</v>
      </c>
      <c r="D149" s="501">
        <f t="shared" si="196"/>
        <v>0</v>
      </c>
      <c r="E149" s="1486"/>
      <c r="F149" s="1471"/>
      <c r="G149" s="1471"/>
      <c r="H149" s="1471"/>
      <c r="I149" s="1471"/>
      <c r="J149" s="1471"/>
      <c r="K149" s="1471"/>
      <c r="L149" s="1471"/>
      <c r="M149" s="1471"/>
      <c r="N149" s="1471"/>
      <c r="O149" s="1471"/>
      <c r="P149" s="1472"/>
      <c r="S149" s="255"/>
      <c r="T149" s="256" t="s">
        <v>77</v>
      </c>
      <c r="U149" s="501">
        <f>SUM(V149:AG149)</f>
        <v>0</v>
      </c>
      <c r="V149" s="530">
        <f>E149*'5 Kalan alkukäsittely satamassa'!$D$18</f>
        <v>0</v>
      </c>
      <c r="W149" s="524">
        <f>F149*'5 Kalan alkukäsittely satamassa'!$D$18</f>
        <v>0</v>
      </c>
      <c r="X149" s="524">
        <f>G149*'5 Kalan alkukäsittely satamassa'!$D$18</f>
        <v>0</v>
      </c>
      <c r="Y149" s="524">
        <f>H149*'5 Kalan alkukäsittely satamassa'!$D$18</f>
        <v>0</v>
      </c>
      <c r="Z149" s="524">
        <f>I149*'5 Kalan alkukäsittely satamassa'!$D$18</f>
        <v>0</v>
      </c>
      <c r="AA149" s="524">
        <f>J149*'5 Kalan alkukäsittely satamassa'!$D$18</f>
        <v>0</v>
      </c>
      <c r="AB149" s="524">
        <f>K149*'5 Kalan alkukäsittely satamassa'!$D$18</f>
        <v>0</v>
      </c>
      <c r="AC149" s="524">
        <f>L149*'5 Kalan alkukäsittely satamassa'!$D$18</f>
        <v>0</v>
      </c>
      <c r="AD149" s="524">
        <f>M149*'5 Kalan alkukäsittely satamassa'!$D$18</f>
        <v>0</v>
      </c>
      <c r="AE149" s="524">
        <f>N149*'5 Kalan alkukäsittely satamassa'!$D$18</f>
        <v>0</v>
      </c>
      <c r="AF149" s="524">
        <f>O149*'5 Kalan alkukäsittely satamassa'!$D$18</f>
        <v>0</v>
      </c>
      <c r="AG149" s="525">
        <f>P149*'5 Kalan alkukäsittely satamassa'!$D$18</f>
        <v>0</v>
      </c>
      <c r="AI149" s="57"/>
      <c r="AJ149" s="59" t="s">
        <v>77</v>
      </c>
      <c r="AK149" s="591">
        <f t="shared" si="199"/>
        <v>0</v>
      </c>
      <c r="AL149" s="1501">
        <v>1</v>
      </c>
      <c r="AM149" s="1502">
        <v>1</v>
      </c>
      <c r="AN149" s="1502">
        <v>1</v>
      </c>
      <c r="AO149" s="1502">
        <v>1</v>
      </c>
      <c r="AP149" s="1502">
        <v>1</v>
      </c>
      <c r="AQ149" s="1502">
        <v>1</v>
      </c>
      <c r="AR149" s="1502">
        <v>1</v>
      </c>
      <c r="AS149" s="1502">
        <v>1</v>
      </c>
      <c r="AT149" s="1502">
        <v>1</v>
      </c>
      <c r="AU149" s="1502">
        <v>1</v>
      </c>
      <c r="AV149" s="1502">
        <v>1</v>
      </c>
      <c r="AW149" s="1503">
        <v>1</v>
      </c>
      <c r="AY149" s="57"/>
      <c r="AZ149" s="59" t="s">
        <v>77</v>
      </c>
      <c r="BA149" s="501">
        <f t="shared" si="200"/>
        <v>0</v>
      </c>
      <c r="BB149" s="530">
        <f t="shared" ref="BB149:BB155" si="202">V149*AL149</f>
        <v>0</v>
      </c>
      <c r="BC149" s="524">
        <f t="shared" si="201"/>
        <v>0</v>
      </c>
      <c r="BD149" s="524">
        <f t="shared" si="201"/>
        <v>0</v>
      </c>
      <c r="BE149" s="524">
        <f t="shared" si="201"/>
        <v>0</v>
      </c>
      <c r="BF149" s="524">
        <f t="shared" si="201"/>
        <v>0</v>
      </c>
      <c r="BG149" s="524">
        <f t="shared" si="201"/>
        <v>0</v>
      </c>
      <c r="BH149" s="524">
        <f t="shared" si="201"/>
        <v>0</v>
      </c>
      <c r="BI149" s="524">
        <f t="shared" si="201"/>
        <v>0</v>
      </c>
      <c r="BJ149" s="524">
        <f t="shared" si="201"/>
        <v>0</v>
      </c>
      <c r="BK149" s="524">
        <f t="shared" si="201"/>
        <v>0</v>
      </c>
      <c r="BL149" s="524">
        <f t="shared" si="201"/>
        <v>0</v>
      </c>
      <c r="BM149" s="525">
        <f t="shared" si="201"/>
        <v>0</v>
      </c>
      <c r="CK149" s="57" t="s">
        <v>103</v>
      </c>
      <c r="CL149" s="436">
        <f t="shared" si="193"/>
        <v>0</v>
      </c>
      <c r="CM149" s="437">
        <f>CM11*'3 Saalis'!CK145</f>
        <v>0</v>
      </c>
      <c r="CN149" s="438">
        <f>CN11*'3 Saalis'!CL145</f>
        <v>0</v>
      </c>
      <c r="CO149" s="438">
        <f>CO11*'3 Saalis'!CM145</f>
        <v>0</v>
      </c>
      <c r="CP149" s="438">
        <f>CP11*'3 Saalis'!CN145</f>
        <v>0</v>
      </c>
      <c r="CQ149" s="438">
        <f>CQ11*'3 Saalis'!CO145</f>
        <v>0</v>
      </c>
      <c r="CR149" s="438">
        <f>CR11*'3 Saalis'!CP145</f>
        <v>0</v>
      </c>
      <c r="CS149" s="438">
        <f>CS11*'3 Saalis'!CQ145</f>
        <v>0</v>
      </c>
      <c r="CT149" s="438">
        <f>CT11*'3 Saalis'!CR145</f>
        <v>0</v>
      </c>
      <c r="CU149" s="438">
        <f>CU11*'3 Saalis'!CS145</f>
        <v>0</v>
      </c>
      <c r="CV149" s="438">
        <f>CV11*'3 Saalis'!CT145</f>
        <v>0</v>
      </c>
      <c r="CW149" s="438">
        <f>CW11*'3 Saalis'!CU145</f>
        <v>0</v>
      </c>
      <c r="CX149" s="439">
        <f>CX11*'3 Saalis'!CV145</f>
        <v>0</v>
      </c>
    </row>
    <row r="150" spans="2:102" x14ac:dyDescent="0.2">
      <c r="B150" s="57"/>
      <c r="C150" s="59" t="s">
        <v>78</v>
      </c>
      <c r="D150" s="501">
        <f t="shared" si="196"/>
        <v>0</v>
      </c>
      <c r="E150" s="1495"/>
      <c r="F150" s="1474"/>
      <c r="G150" s="1474"/>
      <c r="H150" s="1474"/>
      <c r="I150" s="1474"/>
      <c r="J150" s="1474"/>
      <c r="K150" s="1474"/>
      <c r="L150" s="1474"/>
      <c r="M150" s="1474"/>
      <c r="N150" s="1474"/>
      <c r="O150" s="1474"/>
      <c r="P150" s="1475"/>
      <c r="S150" s="255"/>
      <c r="T150" s="256" t="s">
        <v>78</v>
      </c>
      <c r="U150" s="501">
        <f t="shared" si="197"/>
        <v>0</v>
      </c>
      <c r="V150" s="530">
        <f>E150*'5 Kalan alkukäsittely satamassa'!$F$18</f>
        <v>0</v>
      </c>
      <c r="W150" s="524">
        <f>F150*'5 Kalan alkukäsittely satamassa'!$F$18</f>
        <v>0</v>
      </c>
      <c r="X150" s="524">
        <f>G150*'5 Kalan alkukäsittely satamassa'!$F$18</f>
        <v>0</v>
      </c>
      <c r="Y150" s="524">
        <f>H150*'5 Kalan alkukäsittely satamassa'!$F$18</f>
        <v>0</v>
      </c>
      <c r="Z150" s="524">
        <f>I150*'5 Kalan alkukäsittely satamassa'!$F$18</f>
        <v>0</v>
      </c>
      <c r="AA150" s="524">
        <f>J150*'5 Kalan alkukäsittely satamassa'!$F$18</f>
        <v>0</v>
      </c>
      <c r="AB150" s="524">
        <f>K150*'5 Kalan alkukäsittely satamassa'!$F$18</f>
        <v>0</v>
      </c>
      <c r="AC150" s="524">
        <f>L150*'5 Kalan alkukäsittely satamassa'!$F$18</f>
        <v>0</v>
      </c>
      <c r="AD150" s="524">
        <f>M150*'5 Kalan alkukäsittely satamassa'!$F$18</f>
        <v>0</v>
      </c>
      <c r="AE150" s="524">
        <f>N150*'5 Kalan alkukäsittely satamassa'!$F$18</f>
        <v>0</v>
      </c>
      <c r="AF150" s="524">
        <f>O150*'5 Kalan alkukäsittely satamassa'!$F$18</f>
        <v>0</v>
      </c>
      <c r="AG150" s="525">
        <f>P150*'5 Kalan alkukäsittely satamassa'!$F$18</f>
        <v>0</v>
      </c>
      <c r="AI150" s="57"/>
      <c r="AJ150" s="59" t="s">
        <v>78</v>
      </c>
      <c r="AK150" s="591">
        <f t="shared" si="199"/>
        <v>0</v>
      </c>
      <c r="AL150" s="1501">
        <v>7</v>
      </c>
      <c r="AM150" s="1502">
        <v>7</v>
      </c>
      <c r="AN150" s="1502">
        <v>7</v>
      </c>
      <c r="AO150" s="1502">
        <v>7</v>
      </c>
      <c r="AP150" s="1502">
        <v>7</v>
      </c>
      <c r="AQ150" s="1502">
        <v>7</v>
      </c>
      <c r="AR150" s="1502">
        <v>7</v>
      </c>
      <c r="AS150" s="1502">
        <v>7</v>
      </c>
      <c r="AT150" s="1502">
        <v>7</v>
      </c>
      <c r="AU150" s="1502">
        <v>7</v>
      </c>
      <c r="AV150" s="1502">
        <v>7</v>
      </c>
      <c r="AW150" s="1503">
        <v>7</v>
      </c>
      <c r="AY150" s="57"/>
      <c r="AZ150" s="59" t="s">
        <v>78</v>
      </c>
      <c r="BA150" s="501">
        <f t="shared" si="200"/>
        <v>0</v>
      </c>
      <c r="BB150" s="530">
        <f t="shared" si="202"/>
        <v>0</v>
      </c>
      <c r="BC150" s="524">
        <f t="shared" si="201"/>
        <v>0</v>
      </c>
      <c r="BD150" s="524">
        <f t="shared" si="201"/>
        <v>0</v>
      </c>
      <c r="BE150" s="524">
        <f t="shared" si="201"/>
        <v>0</v>
      </c>
      <c r="BF150" s="524">
        <f t="shared" si="201"/>
        <v>0</v>
      </c>
      <c r="BG150" s="524">
        <f t="shared" si="201"/>
        <v>0</v>
      </c>
      <c r="BH150" s="524">
        <f t="shared" si="201"/>
        <v>0</v>
      </c>
      <c r="BI150" s="524">
        <f t="shared" si="201"/>
        <v>0</v>
      </c>
      <c r="BJ150" s="524">
        <f t="shared" si="201"/>
        <v>0</v>
      </c>
      <c r="BK150" s="524">
        <f t="shared" si="201"/>
        <v>0</v>
      </c>
      <c r="BL150" s="524">
        <f t="shared" si="201"/>
        <v>0</v>
      </c>
      <c r="BM150" s="525">
        <f t="shared" si="201"/>
        <v>0</v>
      </c>
      <c r="CK150" s="57" t="s">
        <v>104</v>
      </c>
      <c r="CL150" s="436">
        <f t="shared" si="193"/>
        <v>0</v>
      </c>
      <c r="CM150" s="437">
        <f>CM12*'3 Saalis'!CK146</f>
        <v>0</v>
      </c>
      <c r="CN150" s="438">
        <f>CN12*'3 Saalis'!CL146</f>
        <v>0</v>
      </c>
      <c r="CO150" s="438">
        <f>CO12*'3 Saalis'!CM146</f>
        <v>0</v>
      </c>
      <c r="CP150" s="438">
        <f>CP12*'3 Saalis'!CN146</f>
        <v>0</v>
      </c>
      <c r="CQ150" s="438">
        <f>CQ12*'3 Saalis'!CO146</f>
        <v>0</v>
      </c>
      <c r="CR150" s="438">
        <f>CR12*'3 Saalis'!CP146</f>
        <v>0</v>
      </c>
      <c r="CS150" s="438">
        <f>CS12*'3 Saalis'!CQ146</f>
        <v>0</v>
      </c>
      <c r="CT150" s="438">
        <f>CT12*'3 Saalis'!CR146</f>
        <v>0</v>
      </c>
      <c r="CU150" s="438">
        <f>CU12*'3 Saalis'!CS146</f>
        <v>0</v>
      </c>
      <c r="CV150" s="438">
        <f>CV12*'3 Saalis'!CT146</f>
        <v>0</v>
      </c>
      <c r="CW150" s="438">
        <f>CW12*'3 Saalis'!CU146</f>
        <v>0</v>
      </c>
      <c r="CX150" s="439">
        <f>CX12*'3 Saalis'!CV146</f>
        <v>0</v>
      </c>
    </row>
    <row r="151" spans="2:102" ht="13.5" thickBot="1" x14ac:dyDescent="0.25">
      <c r="B151" s="40"/>
      <c r="C151" s="56" t="s">
        <v>63</v>
      </c>
      <c r="D151" s="498">
        <f t="shared" si="196"/>
        <v>0</v>
      </c>
      <c r="E151" s="1483"/>
      <c r="F151" s="1477"/>
      <c r="G151" s="1477"/>
      <c r="H151" s="1477"/>
      <c r="I151" s="1477"/>
      <c r="J151" s="1477"/>
      <c r="K151" s="1477"/>
      <c r="L151" s="1477"/>
      <c r="M151" s="1477"/>
      <c r="N151" s="1477"/>
      <c r="O151" s="1477"/>
      <c r="P151" s="1478"/>
      <c r="S151" s="258"/>
      <c r="T151" s="259" t="s">
        <v>63</v>
      </c>
      <c r="U151" s="498">
        <f t="shared" si="197"/>
        <v>0</v>
      </c>
      <c r="V151" s="541">
        <f t="shared" ref="V151:AG152" si="203">E151</f>
        <v>0</v>
      </c>
      <c r="W151" s="542">
        <f t="shared" si="203"/>
        <v>0</v>
      </c>
      <c r="X151" s="542">
        <f t="shared" si="203"/>
        <v>0</v>
      </c>
      <c r="Y151" s="542">
        <f t="shared" si="203"/>
        <v>0</v>
      </c>
      <c r="Z151" s="542">
        <f t="shared" si="203"/>
        <v>0</v>
      </c>
      <c r="AA151" s="542">
        <f t="shared" si="203"/>
        <v>0</v>
      </c>
      <c r="AB151" s="542">
        <f t="shared" si="203"/>
        <v>0</v>
      </c>
      <c r="AC151" s="542">
        <f t="shared" si="203"/>
        <v>0</v>
      </c>
      <c r="AD151" s="542">
        <f t="shared" si="203"/>
        <v>0</v>
      </c>
      <c r="AE151" s="542">
        <f t="shared" si="203"/>
        <v>0</v>
      </c>
      <c r="AF151" s="542">
        <f t="shared" si="203"/>
        <v>0</v>
      </c>
      <c r="AG151" s="543">
        <f t="shared" si="203"/>
        <v>0</v>
      </c>
      <c r="AI151" s="40"/>
      <c r="AJ151" s="56" t="s">
        <v>63</v>
      </c>
      <c r="AK151" s="592">
        <f t="shared" si="199"/>
        <v>0</v>
      </c>
      <c r="AL151" s="1504">
        <v>0.09</v>
      </c>
      <c r="AM151" s="1505">
        <v>0.09</v>
      </c>
      <c r="AN151" s="1505">
        <v>0.09</v>
      </c>
      <c r="AO151" s="1505">
        <v>0.09</v>
      </c>
      <c r="AP151" s="1505">
        <v>0.09</v>
      </c>
      <c r="AQ151" s="1505">
        <v>0.09</v>
      </c>
      <c r="AR151" s="1505">
        <v>0.09</v>
      </c>
      <c r="AS151" s="1505">
        <v>0.09</v>
      </c>
      <c r="AT151" s="1505">
        <v>0.09</v>
      </c>
      <c r="AU151" s="1505">
        <v>0.09</v>
      </c>
      <c r="AV151" s="1505">
        <v>0.09</v>
      </c>
      <c r="AW151" s="1506">
        <v>0.09</v>
      </c>
      <c r="AY151" s="40"/>
      <c r="AZ151" s="56" t="s">
        <v>63</v>
      </c>
      <c r="BA151" s="555">
        <f t="shared" si="200"/>
        <v>0</v>
      </c>
      <c r="BB151" s="541">
        <f t="shared" si="202"/>
        <v>0</v>
      </c>
      <c r="BC151" s="542">
        <f t="shared" si="201"/>
        <v>0</v>
      </c>
      <c r="BD151" s="542">
        <f t="shared" si="201"/>
        <v>0</v>
      </c>
      <c r="BE151" s="542">
        <f t="shared" si="201"/>
        <v>0</v>
      </c>
      <c r="BF151" s="542">
        <f t="shared" si="201"/>
        <v>0</v>
      </c>
      <c r="BG151" s="542">
        <f t="shared" si="201"/>
        <v>0</v>
      </c>
      <c r="BH151" s="542">
        <f t="shared" si="201"/>
        <v>0</v>
      </c>
      <c r="BI151" s="542">
        <f t="shared" si="201"/>
        <v>0</v>
      </c>
      <c r="BJ151" s="542">
        <f t="shared" si="201"/>
        <v>0</v>
      </c>
      <c r="BK151" s="542">
        <f t="shared" si="201"/>
        <v>0</v>
      </c>
      <c r="BL151" s="542">
        <f t="shared" si="201"/>
        <v>0</v>
      </c>
      <c r="BM151" s="543">
        <f t="shared" si="201"/>
        <v>0</v>
      </c>
      <c r="CK151" s="57" t="s">
        <v>105</v>
      </c>
      <c r="CL151" s="436">
        <f t="shared" si="193"/>
        <v>0</v>
      </c>
      <c r="CM151" s="437">
        <f>CM13*'3 Saalis'!CK147</f>
        <v>0</v>
      </c>
      <c r="CN151" s="438">
        <f>CN13*'3 Saalis'!CL147</f>
        <v>0</v>
      </c>
      <c r="CO151" s="438">
        <f>CO13*'3 Saalis'!CM147</f>
        <v>0</v>
      </c>
      <c r="CP151" s="438">
        <f>CP13*'3 Saalis'!CN147</f>
        <v>0</v>
      </c>
      <c r="CQ151" s="438">
        <f>CQ13*'3 Saalis'!CO147</f>
        <v>0</v>
      </c>
      <c r="CR151" s="438">
        <f>CR13*'3 Saalis'!CP147</f>
        <v>0</v>
      </c>
      <c r="CS151" s="438">
        <f>CS13*'3 Saalis'!CQ147</f>
        <v>0</v>
      </c>
      <c r="CT151" s="438">
        <f>CT13*'3 Saalis'!CR147</f>
        <v>0</v>
      </c>
      <c r="CU151" s="438">
        <f>CU13*'3 Saalis'!CS147</f>
        <v>0</v>
      </c>
      <c r="CV151" s="438">
        <f>CV13*'3 Saalis'!CT147</f>
        <v>0</v>
      </c>
      <c r="CW151" s="438">
        <f>CW13*'3 Saalis'!CU147</f>
        <v>0</v>
      </c>
      <c r="CX151" s="439">
        <f>CX13*'3 Saalis'!CV147</f>
        <v>0</v>
      </c>
    </row>
    <row r="152" spans="2:102" x14ac:dyDescent="0.2">
      <c r="B152" s="57" t="s">
        <v>79</v>
      </c>
      <c r="C152" s="59" t="s">
        <v>76</v>
      </c>
      <c r="D152" s="501">
        <f t="shared" si="196"/>
        <v>0</v>
      </c>
      <c r="E152" s="1484"/>
      <c r="F152" s="1480"/>
      <c r="G152" s="1480"/>
      <c r="H152" s="1480"/>
      <c r="I152" s="1480"/>
      <c r="J152" s="1480"/>
      <c r="K152" s="1480"/>
      <c r="L152" s="1480"/>
      <c r="M152" s="1480"/>
      <c r="N152" s="1480"/>
      <c r="O152" s="1480"/>
      <c r="P152" s="1481"/>
      <c r="S152" s="255" t="s">
        <v>79</v>
      </c>
      <c r="T152" s="256" t="s">
        <v>76</v>
      </c>
      <c r="U152" s="544">
        <f t="shared" si="197"/>
        <v>0</v>
      </c>
      <c r="V152" s="519">
        <f t="shared" si="203"/>
        <v>0</v>
      </c>
      <c r="W152" s="500">
        <f t="shared" si="203"/>
        <v>0</v>
      </c>
      <c r="X152" s="500">
        <f t="shared" si="203"/>
        <v>0</v>
      </c>
      <c r="Y152" s="500">
        <f t="shared" si="203"/>
        <v>0</v>
      </c>
      <c r="Z152" s="500">
        <f t="shared" si="203"/>
        <v>0</v>
      </c>
      <c r="AA152" s="500">
        <f t="shared" si="203"/>
        <v>0</v>
      </c>
      <c r="AB152" s="500">
        <f t="shared" si="203"/>
        <v>0</v>
      </c>
      <c r="AC152" s="500">
        <f t="shared" si="203"/>
        <v>0</v>
      </c>
      <c r="AD152" s="500">
        <f t="shared" si="203"/>
        <v>0</v>
      </c>
      <c r="AE152" s="500">
        <f t="shared" si="203"/>
        <v>0</v>
      </c>
      <c r="AF152" s="500">
        <f t="shared" si="203"/>
        <v>0</v>
      </c>
      <c r="AG152" s="529">
        <f t="shared" si="203"/>
        <v>0</v>
      </c>
      <c r="AI152" s="5" t="s">
        <v>79</v>
      </c>
      <c r="AJ152" s="59" t="s">
        <v>76</v>
      </c>
      <c r="AK152" s="587">
        <f t="shared" si="199"/>
        <v>0</v>
      </c>
      <c r="AL152" s="1496">
        <v>1</v>
      </c>
      <c r="AM152" s="1511">
        <v>1</v>
      </c>
      <c r="AN152" s="1511">
        <v>1</v>
      </c>
      <c r="AO152" s="1511">
        <v>1</v>
      </c>
      <c r="AP152" s="1511">
        <v>1</v>
      </c>
      <c r="AQ152" s="1511">
        <v>1</v>
      </c>
      <c r="AR152" s="1511">
        <v>1</v>
      </c>
      <c r="AS152" s="1511">
        <v>1</v>
      </c>
      <c r="AT152" s="1511">
        <v>1</v>
      </c>
      <c r="AU152" s="1511">
        <v>1</v>
      </c>
      <c r="AV152" s="1511">
        <v>1</v>
      </c>
      <c r="AW152" s="1498">
        <v>1</v>
      </c>
      <c r="AY152" s="5" t="s">
        <v>79</v>
      </c>
      <c r="AZ152" s="59" t="s">
        <v>76</v>
      </c>
      <c r="BA152" s="544">
        <f t="shared" si="200"/>
        <v>0</v>
      </c>
      <c r="BB152" s="519">
        <f t="shared" si="202"/>
        <v>0</v>
      </c>
      <c r="BC152" s="500">
        <f t="shared" si="201"/>
        <v>0</v>
      </c>
      <c r="BD152" s="500">
        <f t="shared" si="201"/>
        <v>0</v>
      </c>
      <c r="BE152" s="500">
        <f t="shared" si="201"/>
        <v>0</v>
      </c>
      <c r="BF152" s="500">
        <f t="shared" si="201"/>
        <v>0</v>
      </c>
      <c r="BG152" s="500">
        <f t="shared" si="201"/>
        <v>0</v>
      </c>
      <c r="BH152" s="500">
        <f t="shared" si="201"/>
        <v>0</v>
      </c>
      <c r="BI152" s="500">
        <f t="shared" si="201"/>
        <v>0</v>
      </c>
      <c r="BJ152" s="500">
        <f t="shared" si="201"/>
        <v>0</v>
      </c>
      <c r="BK152" s="500">
        <f t="shared" si="201"/>
        <v>0</v>
      </c>
      <c r="BL152" s="500">
        <f t="shared" si="201"/>
        <v>0</v>
      </c>
      <c r="BM152" s="529">
        <f t="shared" si="201"/>
        <v>0</v>
      </c>
      <c r="CK152" s="57" t="s">
        <v>106</v>
      </c>
      <c r="CL152" s="436">
        <f t="shared" si="193"/>
        <v>0</v>
      </c>
      <c r="CM152" s="437">
        <f>CM14*'3 Saalis'!CK148</f>
        <v>0</v>
      </c>
      <c r="CN152" s="438">
        <f>CN14*'3 Saalis'!CL148</f>
        <v>0</v>
      </c>
      <c r="CO152" s="438">
        <f>CO14*'3 Saalis'!CM148</f>
        <v>0</v>
      </c>
      <c r="CP152" s="438">
        <f>CP14*'3 Saalis'!CN148</f>
        <v>0</v>
      </c>
      <c r="CQ152" s="438">
        <f>CQ14*'3 Saalis'!CO148</f>
        <v>0</v>
      </c>
      <c r="CR152" s="438">
        <f>CR14*'3 Saalis'!CP148</f>
        <v>0</v>
      </c>
      <c r="CS152" s="438">
        <f>CS14*'3 Saalis'!CQ148</f>
        <v>0</v>
      </c>
      <c r="CT152" s="438">
        <f>CT14*'3 Saalis'!CR148</f>
        <v>0</v>
      </c>
      <c r="CU152" s="438">
        <f>CU14*'3 Saalis'!CS148</f>
        <v>0</v>
      </c>
      <c r="CV152" s="438">
        <f>CV14*'3 Saalis'!CT148</f>
        <v>0</v>
      </c>
      <c r="CW152" s="438">
        <f>CW14*'3 Saalis'!CU148</f>
        <v>0</v>
      </c>
      <c r="CX152" s="439">
        <f>CX14*'3 Saalis'!CV148</f>
        <v>0</v>
      </c>
    </row>
    <row r="153" spans="2:102" x14ac:dyDescent="0.2">
      <c r="B153" s="57"/>
      <c r="C153" s="59" t="s">
        <v>77</v>
      </c>
      <c r="D153" s="501">
        <f t="shared" si="196"/>
        <v>0</v>
      </c>
      <c r="E153" s="1495"/>
      <c r="F153" s="1474"/>
      <c r="G153" s="1474"/>
      <c r="H153" s="1474"/>
      <c r="I153" s="1474"/>
      <c r="J153" s="1474"/>
      <c r="K153" s="1474"/>
      <c r="L153" s="1474"/>
      <c r="M153" s="1474"/>
      <c r="N153" s="1474"/>
      <c r="O153" s="1474"/>
      <c r="P153" s="1475"/>
      <c r="S153" s="255"/>
      <c r="T153" s="256" t="s">
        <v>77</v>
      </c>
      <c r="U153" s="452">
        <f t="shared" si="197"/>
        <v>0</v>
      </c>
      <c r="V153" s="530">
        <f>E153*'5 Kalan alkukäsittely satamassa'!$D$18</f>
        <v>0</v>
      </c>
      <c r="W153" s="524">
        <f>F153*'5 Kalan alkukäsittely satamassa'!$D$18</f>
        <v>0</v>
      </c>
      <c r="X153" s="524">
        <f>G153*'5 Kalan alkukäsittely satamassa'!$D$18</f>
        <v>0</v>
      </c>
      <c r="Y153" s="524">
        <f>H153*'5 Kalan alkukäsittely satamassa'!$D$18</f>
        <v>0</v>
      </c>
      <c r="Z153" s="524">
        <f>I153*'5 Kalan alkukäsittely satamassa'!$D$18</f>
        <v>0</v>
      </c>
      <c r="AA153" s="524">
        <f>J153*'5 Kalan alkukäsittely satamassa'!$D$18</f>
        <v>0</v>
      </c>
      <c r="AB153" s="524">
        <f>K153*'5 Kalan alkukäsittely satamassa'!$D$18</f>
        <v>0</v>
      </c>
      <c r="AC153" s="524">
        <f>L153*'5 Kalan alkukäsittely satamassa'!$D$18</f>
        <v>0</v>
      </c>
      <c r="AD153" s="524">
        <f>M153*'5 Kalan alkukäsittely satamassa'!$D$18</f>
        <v>0</v>
      </c>
      <c r="AE153" s="524">
        <f>N153*'5 Kalan alkukäsittely satamassa'!$D$18</f>
        <v>0</v>
      </c>
      <c r="AF153" s="524">
        <f>O153*'5 Kalan alkukäsittely satamassa'!$D$18</f>
        <v>0</v>
      </c>
      <c r="AG153" s="525">
        <f>P153*'5 Kalan alkukäsittely satamassa'!$D$18</f>
        <v>0</v>
      </c>
      <c r="AI153" s="57"/>
      <c r="AJ153" s="59" t="s">
        <v>77</v>
      </c>
      <c r="AK153" s="576">
        <f t="shared" si="199"/>
        <v>0</v>
      </c>
      <c r="AL153" s="1501">
        <v>2</v>
      </c>
      <c r="AM153" s="1502">
        <v>2</v>
      </c>
      <c r="AN153" s="1502">
        <v>2</v>
      </c>
      <c r="AO153" s="1502">
        <v>2</v>
      </c>
      <c r="AP153" s="1502">
        <v>2</v>
      </c>
      <c r="AQ153" s="1502">
        <v>2</v>
      </c>
      <c r="AR153" s="1502">
        <v>2</v>
      </c>
      <c r="AS153" s="1502">
        <v>2</v>
      </c>
      <c r="AT153" s="1502">
        <v>2</v>
      </c>
      <c r="AU153" s="1502">
        <v>2</v>
      </c>
      <c r="AV153" s="1502">
        <v>2</v>
      </c>
      <c r="AW153" s="1503">
        <v>2</v>
      </c>
      <c r="AY153" s="57"/>
      <c r="AZ153" s="59" t="s">
        <v>77</v>
      </c>
      <c r="BA153" s="501">
        <f t="shared" si="200"/>
        <v>0</v>
      </c>
      <c r="BB153" s="530">
        <f t="shared" si="202"/>
        <v>0</v>
      </c>
      <c r="BC153" s="524">
        <f t="shared" si="201"/>
        <v>0</v>
      </c>
      <c r="BD153" s="524">
        <f t="shared" si="201"/>
        <v>0</v>
      </c>
      <c r="BE153" s="524">
        <f t="shared" si="201"/>
        <v>0</v>
      </c>
      <c r="BF153" s="524">
        <f t="shared" si="201"/>
        <v>0</v>
      </c>
      <c r="BG153" s="524">
        <f t="shared" si="201"/>
        <v>0</v>
      </c>
      <c r="BH153" s="524">
        <f t="shared" si="201"/>
        <v>0</v>
      </c>
      <c r="BI153" s="524">
        <f t="shared" si="201"/>
        <v>0</v>
      </c>
      <c r="BJ153" s="524">
        <f t="shared" si="201"/>
        <v>0</v>
      </c>
      <c r="BK153" s="524">
        <f t="shared" si="201"/>
        <v>0</v>
      </c>
      <c r="BL153" s="524">
        <f t="shared" si="201"/>
        <v>0</v>
      </c>
      <c r="BM153" s="525">
        <f t="shared" si="201"/>
        <v>0</v>
      </c>
      <c r="CK153" s="57" t="s">
        <v>37</v>
      </c>
      <c r="CL153" s="436">
        <f t="shared" si="193"/>
        <v>0</v>
      </c>
      <c r="CM153" s="437">
        <f>CM15*'3 Saalis'!CK149</f>
        <v>0</v>
      </c>
      <c r="CN153" s="438">
        <f>CN15*'3 Saalis'!CL149</f>
        <v>0</v>
      </c>
      <c r="CO153" s="438">
        <f>CO15*'3 Saalis'!CM149</f>
        <v>0</v>
      </c>
      <c r="CP153" s="438">
        <f>CP15*'3 Saalis'!CN149</f>
        <v>0</v>
      </c>
      <c r="CQ153" s="438">
        <f>CQ15*'3 Saalis'!CO149</f>
        <v>0</v>
      </c>
      <c r="CR153" s="438">
        <f>CR15*'3 Saalis'!CP149</f>
        <v>0</v>
      </c>
      <c r="CS153" s="438">
        <f>CS15*'3 Saalis'!CQ149</f>
        <v>0</v>
      </c>
      <c r="CT153" s="438">
        <f>CT15*'3 Saalis'!CR149</f>
        <v>0</v>
      </c>
      <c r="CU153" s="438">
        <f>CU15*'3 Saalis'!CS149</f>
        <v>0</v>
      </c>
      <c r="CV153" s="438">
        <f>CV15*'3 Saalis'!CT149</f>
        <v>0</v>
      </c>
      <c r="CW153" s="438">
        <f>CW15*'3 Saalis'!CU149</f>
        <v>0</v>
      </c>
      <c r="CX153" s="439">
        <f>CX15*'3 Saalis'!CV149</f>
        <v>0</v>
      </c>
    </row>
    <row r="154" spans="2:102" x14ac:dyDescent="0.2">
      <c r="B154" s="57"/>
      <c r="C154" s="59" t="s">
        <v>78</v>
      </c>
      <c r="D154" s="501">
        <f t="shared" si="196"/>
        <v>0</v>
      </c>
      <c r="E154" s="1495"/>
      <c r="F154" s="1474"/>
      <c r="G154" s="1474"/>
      <c r="H154" s="1474"/>
      <c r="I154" s="1474"/>
      <c r="J154" s="1474"/>
      <c r="K154" s="1474"/>
      <c r="L154" s="1474"/>
      <c r="M154" s="1474"/>
      <c r="N154" s="1474"/>
      <c r="O154" s="1474"/>
      <c r="P154" s="1475"/>
      <c r="S154" s="255"/>
      <c r="T154" s="256" t="s">
        <v>78</v>
      </c>
      <c r="U154" s="452">
        <f t="shared" si="197"/>
        <v>0</v>
      </c>
      <c r="V154" s="530">
        <f>E154*'5 Kalan alkukäsittely satamassa'!$F$18</f>
        <v>0</v>
      </c>
      <c r="W154" s="524">
        <f>F154*'5 Kalan alkukäsittely satamassa'!$F$18</f>
        <v>0</v>
      </c>
      <c r="X154" s="524">
        <f>G154*'5 Kalan alkukäsittely satamassa'!$F$18</f>
        <v>0</v>
      </c>
      <c r="Y154" s="524">
        <f>H154*'5 Kalan alkukäsittely satamassa'!$F$18</f>
        <v>0</v>
      </c>
      <c r="Z154" s="524">
        <f>I154*'5 Kalan alkukäsittely satamassa'!$F$18</f>
        <v>0</v>
      </c>
      <c r="AA154" s="524">
        <f>J154*'5 Kalan alkukäsittely satamassa'!$F$18</f>
        <v>0</v>
      </c>
      <c r="AB154" s="524">
        <f>K154*'5 Kalan alkukäsittely satamassa'!$F$18</f>
        <v>0</v>
      </c>
      <c r="AC154" s="524">
        <f>L154*'5 Kalan alkukäsittely satamassa'!$F$18</f>
        <v>0</v>
      </c>
      <c r="AD154" s="524">
        <f>M154*'5 Kalan alkukäsittely satamassa'!$F$18</f>
        <v>0</v>
      </c>
      <c r="AE154" s="524">
        <f>N154*'5 Kalan alkukäsittely satamassa'!$F$18</f>
        <v>0</v>
      </c>
      <c r="AF154" s="524">
        <f>O154*'5 Kalan alkukäsittely satamassa'!$F$18</f>
        <v>0</v>
      </c>
      <c r="AG154" s="525">
        <f>P154*'5 Kalan alkukäsittely satamassa'!$F$18</f>
        <v>0</v>
      </c>
      <c r="AI154" s="57"/>
      <c r="AJ154" s="59" t="s">
        <v>78</v>
      </c>
      <c r="AK154" s="576">
        <f t="shared" si="199"/>
        <v>0</v>
      </c>
      <c r="AL154" s="1501">
        <v>10</v>
      </c>
      <c r="AM154" s="1502">
        <v>10</v>
      </c>
      <c r="AN154" s="1502">
        <v>10</v>
      </c>
      <c r="AO154" s="1502">
        <v>10</v>
      </c>
      <c r="AP154" s="1502">
        <v>10</v>
      </c>
      <c r="AQ154" s="1502">
        <v>10</v>
      </c>
      <c r="AR154" s="1502">
        <v>10</v>
      </c>
      <c r="AS154" s="1502">
        <v>10</v>
      </c>
      <c r="AT154" s="1502">
        <v>10</v>
      </c>
      <c r="AU154" s="1502">
        <v>10</v>
      </c>
      <c r="AV154" s="1502">
        <v>10</v>
      </c>
      <c r="AW154" s="1503">
        <v>10</v>
      </c>
      <c r="AY154" s="57"/>
      <c r="AZ154" s="59" t="s">
        <v>78</v>
      </c>
      <c r="BA154" s="501">
        <f t="shared" si="200"/>
        <v>0</v>
      </c>
      <c r="BB154" s="530">
        <f t="shared" si="202"/>
        <v>0</v>
      </c>
      <c r="BC154" s="524">
        <f t="shared" si="201"/>
        <v>0</v>
      </c>
      <c r="BD154" s="524">
        <f t="shared" si="201"/>
        <v>0</v>
      </c>
      <c r="BE154" s="524">
        <f t="shared" si="201"/>
        <v>0</v>
      </c>
      <c r="BF154" s="524">
        <f t="shared" si="201"/>
        <v>0</v>
      </c>
      <c r="BG154" s="524">
        <f t="shared" si="201"/>
        <v>0</v>
      </c>
      <c r="BH154" s="524">
        <f t="shared" si="201"/>
        <v>0</v>
      </c>
      <c r="BI154" s="524">
        <f t="shared" si="201"/>
        <v>0</v>
      </c>
      <c r="BJ154" s="524">
        <f t="shared" si="201"/>
        <v>0</v>
      </c>
      <c r="BK154" s="524">
        <f t="shared" si="201"/>
        <v>0</v>
      </c>
      <c r="BL154" s="524">
        <f t="shared" si="201"/>
        <v>0</v>
      </c>
      <c r="BM154" s="525">
        <f t="shared" si="201"/>
        <v>0</v>
      </c>
      <c r="CK154" s="57" t="s">
        <v>36</v>
      </c>
      <c r="CL154" s="436">
        <f t="shared" si="193"/>
        <v>0</v>
      </c>
      <c r="CM154" s="437">
        <f>CM16*'3 Saalis'!CK150</f>
        <v>0</v>
      </c>
      <c r="CN154" s="438">
        <f>CN16*'3 Saalis'!CL150</f>
        <v>0</v>
      </c>
      <c r="CO154" s="438">
        <f>CO16*'3 Saalis'!CM150</f>
        <v>0</v>
      </c>
      <c r="CP154" s="438">
        <f>CP16*'3 Saalis'!CN150</f>
        <v>0</v>
      </c>
      <c r="CQ154" s="438">
        <f>CQ16*'3 Saalis'!CO150</f>
        <v>0</v>
      </c>
      <c r="CR154" s="438">
        <f>CR16*'3 Saalis'!CP150</f>
        <v>0</v>
      </c>
      <c r="CS154" s="438">
        <f>CS16*'3 Saalis'!CQ150</f>
        <v>0</v>
      </c>
      <c r="CT154" s="438">
        <f>CT16*'3 Saalis'!CR150</f>
        <v>0</v>
      </c>
      <c r="CU154" s="438">
        <f>CU16*'3 Saalis'!CS150</f>
        <v>0</v>
      </c>
      <c r="CV154" s="438">
        <f>CV16*'3 Saalis'!CT150</f>
        <v>0</v>
      </c>
      <c r="CW154" s="438">
        <f>CW16*'3 Saalis'!CU150</f>
        <v>0</v>
      </c>
      <c r="CX154" s="439">
        <f>CX16*'3 Saalis'!CV150</f>
        <v>0</v>
      </c>
    </row>
    <row r="155" spans="2:102" ht="13.5" thickBot="1" x14ac:dyDescent="0.25">
      <c r="B155" s="40"/>
      <c r="C155" s="56" t="s">
        <v>63</v>
      </c>
      <c r="D155" s="498">
        <f t="shared" si="196"/>
        <v>0</v>
      </c>
      <c r="E155" s="1483"/>
      <c r="F155" s="1477"/>
      <c r="G155" s="1477"/>
      <c r="H155" s="1477"/>
      <c r="I155" s="1477"/>
      <c r="J155" s="1477"/>
      <c r="K155" s="1477"/>
      <c r="L155" s="1477"/>
      <c r="M155" s="1477"/>
      <c r="N155" s="1477"/>
      <c r="O155" s="1477"/>
      <c r="P155" s="1478"/>
      <c r="S155" s="258"/>
      <c r="T155" s="259" t="s">
        <v>63</v>
      </c>
      <c r="U155" s="502">
        <f t="shared" si="197"/>
        <v>0</v>
      </c>
      <c r="V155" s="515">
        <f t="shared" ref="V155:AG156" si="204">E155</f>
        <v>0</v>
      </c>
      <c r="W155" s="531">
        <f t="shared" si="204"/>
        <v>0</v>
      </c>
      <c r="X155" s="531">
        <f t="shared" si="204"/>
        <v>0</v>
      </c>
      <c r="Y155" s="531">
        <f t="shared" si="204"/>
        <v>0</v>
      </c>
      <c r="Z155" s="531">
        <f t="shared" si="204"/>
        <v>0</v>
      </c>
      <c r="AA155" s="531">
        <f t="shared" si="204"/>
        <v>0</v>
      </c>
      <c r="AB155" s="531">
        <f t="shared" si="204"/>
        <v>0</v>
      </c>
      <c r="AC155" s="531">
        <f t="shared" si="204"/>
        <v>0</v>
      </c>
      <c r="AD155" s="531">
        <f t="shared" si="204"/>
        <v>0</v>
      </c>
      <c r="AE155" s="531">
        <f t="shared" si="204"/>
        <v>0</v>
      </c>
      <c r="AF155" s="531">
        <f t="shared" si="204"/>
        <v>0</v>
      </c>
      <c r="AG155" s="532">
        <f t="shared" si="204"/>
        <v>0</v>
      </c>
      <c r="AI155" s="40"/>
      <c r="AJ155" s="56" t="s">
        <v>63</v>
      </c>
      <c r="AK155" s="588">
        <f t="shared" si="199"/>
        <v>0</v>
      </c>
      <c r="AL155" s="1504">
        <v>0.09</v>
      </c>
      <c r="AM155" s="1505">
        <v>0.09</v>
      </c>
      <c r="AN155" s="1505">
        <v>0.09</v>
      </c>
      <c r="AO155" s="1505">
        <v>0.09</v>
      </c>
      <c r="AP155" s="1505">
        <v>0.09</v>
      </c>
      <c r="AQ155" s="1505">
        <v>0.09</v>
      </c>
      <c r="AR155" s="1505">
        <v>0.09</v>
      </c>
      <c r="AS155" s="1505">
        <v>0.09</v>
      </c>
      <c r="AT155" s="1505">
        <v>0.09</v>
      </c>
      <c r="AU155" s="1505">
        <v>0.09</v>
      </c>
      <c r="AV155" s="1505">
        <v>0.09</v>
      </c>
      <c r="AW155" s="1506">
        <v>0.09</v>
      </c>
      <c r="AY155" s="40"/>
      <c r="AZ155" s="56" t="s">
        <v>63</v>
      </c>
      <c r="BA155" s="502">
        <f t="shared" si="200"/>
        <v>0</v>
      </c>
      <c r="BB155" s="515">
        <f t="shared" si="202"/>
        <v>0</v>
      </c>
      <c r="BC155" s="531">
        <f t="shared" si="201"/>
        <v>0</v>
      </c>
      <c r="BD155" s="531">
        <f t="shared" si="201"/>
        <v>0</v>
      </c>
      <c r="BE155" s="531">
        <f t="shared" si="201"/>
        <v>0</v>
      </c>
      <c r="BF155" s="531">
        <f t="shared" si="201"/>
        <v>0</v>
      </c>
      <c r="BG155" s="531">
        <f t="shared" si="201"/>
        <v>0</v>
      </c>
      <c r="BH155" s="531">
        <f t="shared" si="201"/>
        <v>0</v>
      </c>
      <c r="BI155" s="531">
        <f t="shared" si="201"/>
        <v>0</v>
      </c>
      <c r="BJ155" s="531">
        <f t="shared" si="201"/>
        <v>0</v>
      </c>
      <c r="BK155" s="531">
        <f t="shared" si="201"/>
        <v>0</v>
      </c>
      <c r="BL155" s="531">
        <f t="shared" si="201"/>
        <v>0</v>
      </c>
      <c r="BM155" s="532">
        <f t="shared" si="201"/>
        <v>0</v>
      </c>
      <c r="CK155" s="57" t="s">
        <v>94</v>
      </c>
      <c r="CL155" s="436">
        <f t="shared" si="193"/>
        <v>0</v>
      </c>
      <c r="CM155" s="437">
        <f>CM17*'3 Saalis'!CK151</f>
        <v>0</v>
      </c>
      <c r="CN155" s="438">
        <f>CN17*'3 Saalis'!CL151</f>
        <v>0</v>
      </c>
      <c r="CO155" s="438">
        <f>CO17*'3 Saalis'!CM151</f>
        <v>0</v>
      </c>
      <c r="CP155" s="438">
        <f>CP17*'3 Saalis'!CN151</f>
        <v>0</v>
      </c>
      <c r="CQ155" s="438">
        <f>CQ17*'3 Saalis'!CO151</f>
        <v>0</v>
      </c>
      <c r="CR155" s="438">
        <f>CR17*'3 Saalis'!CP151</f>
        <v>0</v>
      </c>
      <c r="CS155" s="438">
        <f>CS17*'3 Saalis'!CQ151</f>
        <v>0</v>
      </c>
      <c r="CT155" s="438">
        <f>CT17*'3 Saalis'!CR151</f>
        <v>0</v>
      </c>
      <c r="CU155" s="438">
        <f>CU17*'3 Saalis'!CS151</f>
        <v>0</v>
      </c>
      <c r="CV155" s="438">
        <f>CV17*'3 Saalis'!CT151</f>
        <v>0</v>
      </c>
      <c r="CW155" s="438">
        <f>CW17*'3 Saalis'!CU151</f>
        <v>0</v>
      </c>
      <c r="CX155" s="439">
        <f>CX17*'3 Saalis'!CV151</f>
        <v>0</v>
      </c>
    </row>
    <row r="156" spans="2:102" ht="13.5" thickBot="1" x14ac:dyDescent="0.25">
      <c r="B156" s="40" t="s">
        <v>80</v>
      </c>
      <c r="C156" s="1485"/>
      <c r="D156" s="452">
        <f t="shared" si="196"/>
        <v>0</v>
      </c>
      <c r="E156" s="1490"/>
      <c r="F156" s="1491"/>
      <c r="G156" s="1491"/>
      <c r="H156" s="1491"/>
      <c r="I156" s="1491"/>
      <c r="J156" s="1491"/>
      <c r="K156" s="1491"/>
      <c r="L156" s="1491"/>
      <c r="M156" s="1491"/>
      <c r="N156" s="1491"/>
      <c r="O156" s="1491"/>
      <c r="P156" s="1492"/>
      <c r="S156" s="258" t="s">
        <v>80</v>
      </c>
      <c r="T156" s="1133">
        <f>C156</f>
        <v>0</v>
      </c>
      <c r="U156" s="416">
        <f t="shared" si="197"/>
        <v>0</v>
      </c>
      <c r="V156" s="516">
        <f t="shared" si="204"/>
        <v>0</v>
      </c>
      <c r="W156" s="516">
        <f t="shared" si="204"/>
        <v>0</v>
      </c>
      <c r="X156" s="516">
        <f t="shared" si="204"/>
        <v>0</v>
      </c>
      <c r="Y156" s="516">
        <f t="shared" si="204"/>
        <v>0</v>
      </c>
      <c r="Z156" s="516">
        <f t="shared" si="204"/>
        <v>0</v>
      </c>
      <c r="AA156" s="516">
        <f t="shared" si="204"/>
        <v>0</v>
      </c>
      <c r="AB156" s="516">
        <f t="shared" si="204"/>
        <v>0</v>
      </c>
      <c r="AC156" s="516">
        <f t="shared" si="204"/>
        <v>0</v>
      </c>
      <c r="AD156" s="516">
        <f t="shared" si="204"/>
        <v>0</v>
      </c>
      <c r="AE156" s="516">
        <f t="shared" si="204"/>
        <v>0</v>
      </c>
      <c r="AF156" s="516">
        <f t="shared" si="204"/>
        <v>0</v>
      </c>
      <c r="AG156" s="529">
        <f t="shared" si="204"/>
        <v>0</v>
      </c>
      <c r="AI156" s="40" t="s">
        <v>80</v>
      </c>
      <c r="AJ156" s="1133">
        <f>T156</f>
        <v>0</v>
      </c>
      <c r="AK156" s="576">
        <f t="shared" si="199"/>
        <v>0</v>
      </c>
      <c r="AL156" s="1520"/>
      <c r="AM156" s="1521"/>
      <c r="AN156" s="1521"/>
      <c r="AO156" s="1521"/>
      <c r="AP156" s="1521"/>
      <c r="AQ156" s="1521"/>
      <c r="AR156" s="1521"/>
      <c r="AS156" s="1521"/>
      <c r="AT156" s="1521"/>
      <c r="AU156" s="1521"/>
      <c r="AV156" s="1521"/>
      <c r="AW156" s="1522"/>
      <c r="AY156" s="40" t="s">
        <v>80</v>
      </c>
      <c r="AZ156" s="1133">
        <f>AJ156</f>
        <v>0</v>
      </c>
      <c r="BA156" s="540">
        <f t="shared" si="200"/>
        <v>0</v>
      </c>
      <c r="BB156" s="548">
        <f>V156*AL156</f>
        <v>0</v>
      </c>
      <c r="BC156" s="553">
        <f t="shared" si="201"/>
        <v>0</v>
      </c>
      <c r="BD156" s="553">
        <f t="shared" si="201"/>
        <v>0</v>
      </c>
      <c r="BE156" s="553">
        <f t="shared" si="201"/>
        <v>0</v>
      </c>
      <c r="BF156" s="553">
        <f t="shared" si="201"/>
        <v>0</v>
      </c>
      <c r="BG156" s="553">
        <f t="shared" si="201"/>
        <v>0</v>
      </c>
      <c r="BH156" s="553">
        <f t="shared" si="201"/>
        <v>0</v>
      </c>
      <c r="BI156" s="553">
        <f t="shared" si="201"/>
        <v>0</v>
      </c>
      <c r="BJ156" s="553">
        <f t="shared" si="201"/>
        <v>0</v>
      </c>
      <c r="BK156" s="553">
        <f t="shared" si="201"/>
        <v>0</v>
      </c>
      <c r="BL156" s="553">
        <f t="shared" si="201"/>
        <v>0</v>
      </c>
      <c r="BM156" s="554">
        <f t="shared" si="201"/>
        <v>0</v>
      </c>
      <c r="CK156" s="40" t="s">
        <v>93</v>
      </c>
      <c r="CL156" s="483">
        <f>SUM(CM156:CX156)</f>
        <v>0</v>
      </c>
      <c r="CM156" s="440">
        <f>CM18*'3 Saalis'!CK152</f>
        <v>0</v>
      </c>
      <c r="CN156" s="441">
        <f>CN18*'3 Saalis'!CL152</f>
        <v>0</v>
      </c>
      <c r="CO156" s="441">
        <f>CO18*'3 Saalis'!CM152</f>
        <v>0</v>
      </c>
      <c r="CP156" s="441">
        <f>CP18*'3 Saalis'!CN152</f>
        <v>0</v>
      </c>
      <c r="CQ156" s="441">
        <f>CQ18*'3 Saalis'!CO152</f>
        <v>0</v>
      </c>
      <c r="CR156" s="441">
        <f>CR18*'3 Saalis'!CP152</f>
        <v>0</v>
      </c>
      <c r="CS156" s="441">
        <f>CS18*'3 Saalis'!CQ152</f>
        <v>0</v>
      </c>
      <c r="CT156" s="441">
        <f>CT18*'3 Saalis'!CR152</f>
        <v>0</v>
      </c>
      <c r="CU156" s="441">
        <f>CU18*'3 Saalis'!CS152</f>
        <v>0</v>
      </c>
      <c r="CV156" s="441">
        <f>CV18*'3 Saalis'!CT152</f>
        <v>0</v>
      </c>
      <c r="CW156" s="441">
        <f>CW18*'3 Saalis'!CU152</f>
        <v>0</v>
      </c>
      <c r="CX156" s="442">
        <f>CX18*'3 Saalis'!CV152</f>
        <v>0</v>
      </c>
    </row>
    <row r="157" spans="2:102" ht="13.5" thickBot="1" x14ac:dyDescent="0.25">
      <c r="B157" s="8" t="s">
        <v>72</v>
      </c>
      <c r="C157" s="10"/>
      <c r="D157" s="416">
        <f t="shared" ref="D157:O157" si="205">D147-SUM(D148:D156)</f>
        <v>0</v>
      </c>
      <c r="E157" s="507">
        <f>E147-SUM(E148:E156)</f>
        <v>0</v>
      </c>
      <c r="F157" s="508">
        <f t="shared" si="205"/>
        <v>0</v>
      </c>
      <c r="G157" s="508">
        <f t="shared" si="205"/>
        <v>0</v>
      </c>
      <c r="H157" s="508">
        <f t="shared" si="205"/>
        <v>0</v>
      </c>
      <c r="I157" s="508">
        <f t="shared" si="205"/>
        <v>0</v>
      </c>
      <c r="J157" s="508">
        <f t="shared" si="205"/>
        <v>0</v>
      </c>
      <c r="K157" s="508">
        <f t="shared" si="205"/>
        <v>0</v>
      </c>
      <c r="L157" s="508">
        <f t="shared" si="205"/>
        <v>0</v>
      </c>
      <c r="M157" s="508">
        <f>M147-SUM(M148:M156)</f>
        <v>0</v>
      </c>
      <c r="N157" s="508">
        <f t="shared" si="205"/>
        <v>0</v>
      </c>
      <c r="O157" s="508">
        <f t="shared" si="205"/>
        <v>0</v>
      </c>
      <c r="P157" s="497">
        <f>P147-SUM(P148:P156)</f>
        <v>0</v>
      </c>
      <c r="S157" s="258" t="s">
        <v>113</v>
      </c>
      <c r="T157" s="265"/>
      <c r="U157" s="416">
        <f>SUM(U148:U156)</f>
        <v>0</v>
      </c>
      <c r="V157" s="548">
        <f>SUM(V148:V156)</f>
        <v>0</v>
      </c>
      <c r="W157" s="553">
        <f>SUM(W148:W156)</f>
        <v>0</v>
      </c>
      <c r="X157" s="553">
        <f t="shared" ref="X157:AG157" si="206">SUM(X148:X156)</f>
        <v>0</v>
      </c>
      <c r="Y157" s="553">
        <f t="shared" si="206"/>
        <v>0</v>
      </c>
      <c r="Z157" s="553">
        <f t="shared" si="206"/>
        <v>0</v>
      </c>
      <c r="AA157" s="553">
        <f t="shared" si="206"/>
        <v>0</v>
      </c>
      <c r="AB157" s="553">
        <f t="shared" si="206"/>
        <v>0</v>
      </c>
      <c r="AC157" s="553">
        <f t="shared" si="206"/>
        <v>0</v>
      </c>
      <c r="AD157" s="553">
        <f t="shared" si="206"/>
        <v>0</v>
      </c>
      <c r="AE157" s="553">
        <f t="shared" si="206"/>
        <v>0</v>
      </c>
      <c r="AF157" s="553">
        <f t="shared" si="206"/>
        <v>0</v>
      </c>
      <c r="AG157" s="554">
        <f t="shared" si="206"/>
        <v>0</v>
      </c>
      <c r="AI157" s="40" t="s">
        <v>99</v>
      </c>
      <c r="AJ157" s="10"/>
      <c r="AK157" s="586">
        <f>IF(BA147=0,0,BA157/BA147)</f>
        <v>0</v>
      </c>
      <c r="AL157" s="580">
        <f t="shared" ref="AL157:AW157" si="207">IF(BB147=0,0,BB157/BB147)</f>
        <v>0</v>
      </c>
      <c r="AM157" s="581">
        <f t="shared" si="207"/>
        <v>0</v>
      </c>
      <c r="AN157" s="581">
        <f t="shared" si="207"/>
        <v>0</v>
      </c>
      <c r="AO157" s="581">
        <f t="shared" si="207"/>
        <v>0</v>
      </c>
      <c r="AP157" s="581">
        <f t="shared" si="207"/>
        <v>0</v>
      </c>
      <c r="AQ157" s="581">
        <f t="shared" si="207"/>
        <v>0</v>
      </c>
      <c r="AR157" s="581">
        <f t="shared" si="207"/>
        <v>0</v>
      </c>
      <c r="AS157" s="581">
        <f t="shared" si="207"/>
        <v>0</v>
      </c>
      <c r="AT157" s="581">
        <f t="shared" si="207"/>
        <v>0</v>
      </c>
      <c r="AU157" s="581">
        <f t="shared" si="207"/>
        <v>0</v>
      </c>
      <c r="AV157" s="581">
        <f t="shared" si="207"/>
        <v>0</v>
      </c>
      <c r="AW157" s="582">
        <f t="shared" si="207"/>
        <v>0</v>
      </c>
      <c r="AY157" s="40" t="s">
        <v>98</v>
      </c>
      <c r="AZ157" s="10"/>
      <c r="BA157" s="416">
        <f>SUM(BA148:BA156)</f>
        <v>0</v>
      </c>
      <c r="BB157" s="549">
        <f>SUM(BB148:BB156)</f>
        <v>0</v>
      </c>
      <c r="BC157" s="553">
        <f>SUM(BC148:BC156)</f>
        <v>0</v>
      </c>
      <c r="BD157" s="553">
        <f t="shared" ref="BD157:BM157" si="208">SUM(BD148:BD156)</f>
        <v>0</v>
      </c>
      <c r="BE157" s="553">
        <f t="shared" si="208"/>
        <v>0</v>
      </c>
      <c r="BF157" s="553">
        <f t="shared" si="208"/>
        <v>0</v>
      </c>
      <c r="BG157" s="553">
        <f t="shared" si="208"/>
        <v>0</v>
      </c>
      <c r="BH157" s="553">
        <f t="shared" si="208"/>
        <v>0</v>
      </c>
      <c r="BI157" s="553">
        <f t="shared" si="208"/>
        <v>0</v>
      </c>
      <c r="BJ157" s="553">
        <f t="shared" si="208"/>
        <v>0</v>
      </c>
      <c r="BK157" s="553">
        <f t="shared" si="208"/>
        <v>0</v>
      </c>
      <c r="BL157" s="553">
        <f t="shared" si="208"/>
        <v>0</v>
      </c>
      <c r="BM157" s="554">
        <f t="shared" si="208"/>
        <v>0</v>
      </c>
      <c r="CK157" s="8" t="s">
        <v>107</v>
      </c>
      <c r="CL157" s="423">
        <f>SUM(CL145:CL156)</f>
        <v>0</v>
      </c>
      <c r="CM157" s="614">
        <f>SUM(CM145:CM156)</f>
        <v>0</v>
      </c>
      <c r="CN157" s="614">
        <f t="shared" ref="CN157:CX157" si="209">SUM(CN145:CN156)</f>
        <v>0</v>
      </c>
      <c r="CO157" s="614">
        <f t="shared" si="209"/>
        <v>0</v>
      </c>
      <c r="CP157" s="614">
        <f t="shared" si="209"/>
        <v>0</v>
      </c>
      <c r="CQ157" s="614">
        <f t="shared" si="209"/>
        <v>0</v>
      </c>
      <c r="CR157" s="614">
        <f t="shared" si="209"/>
        <v>0</v>
      </c>
      <c r="CS157" s="614">
        <f t="shared" si="209"/>
        <v>0</v>
      </c>
      <c r="CT157" s="614">
        <f t="shared" si="209"/>
        <v>0</v>
      </c>
      <c r="CU157" s="614">
        <f t="shared" si="209"/>
        <v>0</v>
      </c>
      <c r="CV157" s="614">
        <f t="shared" si="209"/>
        <v>0</v>
      </c>
      <c r="CW157" s="614">
        <f t="shared" si="209"/>
        <v>0</v>
      </c>
      <c r="CX157" s="614">
        <f t="shared" si="209"/>
        <v>0</v>
      </c>
    </row>
    <row r="158" spans="2:102" ht="13.5" thickBot="1" x14ac:dyDescent="0.25">
      <c r="E158" s="794" t="str">
        <f t="shared" ref="E158:P158" si="210">IF(E157&lt;0,"Ylimyynti!!!"," ")</f>
        <v xml:space="preserve"> </v>
      </c>
      <c r="F158" s="794" t="str">
        <f t="shared" si="210"/>
        <v xml:space="preserve"> </v>
      </c>
      <c r="G158" s="794" t="str">
        <f t="shared" si="210"/>
        <v xml:space="preserve"> </v>
      </c>
      <c r="H158" s="794" t="str">
        <f t="shared" si="210"/>
        <v xml:space="preserve"> </v>
      </c>
      <c r="I158" s="794" t="str">
        <f t="shared" si="210"/>
        <v xml:space="preserve"> </v>
      </c>
      <c r="J158" s="794" t="str">
        <f t="shared" si="210"/>
        <v xml:space="preserve"> </v>
      </c>
      <c r="K158" s="794" t="str">
        <f t="shared" si="210"/>
        <v xml:space="preserve"> </v>
      </c>
      <c r="L158" s="794" t="str">
        <f t="shared" si="210"/>
        <v xml:space="preserve"> </v>
      </c>
      <c r="M158" s="794" t="str">
        <f t="shared" si="210"/>
        <v xml:space="preserve"> </v>
      </c>
      <c r="N158" s="794" t="str">
        <f t="shared" si="210"/>
        <v xml:space="preserve"> </v>
      </c>
      <c r="O158" s="794" t="str">
        <f t="shared" si="210"/>
        <v xml:space="preserve"> </v>
      </c>
      <c r="P158" s="794" t="str">
        <f t="shared" si="210"/>
        <v xml:space="preserve"> </v>
      </c>
    </row>
    <row r="159" spans="2:102" ht="13.5" thickBot="1" x14ac:dyDescent="0.25">
      <c r="B159" s="5" t="s">
        <v>524</v>
      </c>
      <c r="C159" s="36"/>
      <c r="D159" s="249" t="s">
        <v>40</v>
      </c>
      <c r="E159" s="245"/>
      <c r="F159" s="246"/>
      <c r="G159" s="246"/>
      <c r="H159" s="246"/>
      <c r="I159" s="246"/>
      <c r="J159" s="219" t="s">
        <v>42</v>
      </c>
      <c r="K159" s="246"/>
      <c r="L159" s="246"/>
      <c r="M159" s="246"/>
      <c r="N159" s="246"/>
      <c r="O159" s="246"/>
      <c r="P159" s="247"/>
      <c r="Q159" s="250"/>
      <c r="S159" s="251" t="s">
        <v>524</v>
      </c>
      <c r="T159" s="252"/>
      <c r="U159" s="249" t="s">
        <v>40</v>
      </c>
      <c r="V159" s="245"/>
      <c r="W159" s="246"/>
      <c r="X159" s="246"/>
      <c r="Y159" s="246"/>
      <c r="Z159" s="246"/>
      <c r="AA159" s="219" t="s">
        <v>42</v>
      </c>
      <c r="AB159" s="246"/>
      <c r="AC159" s="246"/>
      <c r="AD159" s="246"/>
      <c r="AE159" s="246"/>
      <c r="AF159" s="246"/>
      <c r="AG159" s="247"/>
      <c r="AI159" s="5" t="s">
        <v>524</v>
      </c>
      <c r="AJ159" s="36"/>
      <c r="AK159" s="51" t="s">
        <v>40</v>
      </c>
      <c r="AL159" s="47"/>
      <c r="AM159" s="48"/>
      <c r="AN159" s="48"/>
      <c r="AO159" s="48"/>
      <c r="AP159" s="48"/>
      <c r="AQ159" s="41" t="s">
        <v>42</v>
      </c>
      <c r="AR159" s="48"/>
      <c r="AS159" s="48"/>
      <c r="AT159" s="48"/>
      <c r="AU159" s="48"/>
      <c r="AV159" s="48"/>
      <c r="AW159" s="49"/>
      <c r="AY159" s="5" t="s">
        <v>524</v>
      </c>
      <c r="AZ159" s="36"/>
      <c r="BA159" s="249" t="s">
        <v>40</v>
      </c>
      <c r="BB159" s="245"/>
      <c r="BC159" s="246"/>
      <c r="BD159" s="246"/>
      <c r="BE159" s="246"/>
      <c r="BF159" s="246"/>
      <c r="BG159" s="219" t="s">
        <v>42</v>
      </c>
      <c r="BH159" s="246"/>
      <c r="BI159" s="246"/>
      <c r="BJ159" s="246"/>
      <c r="BK159" s="246"/>
      <c r="BL159" s="246"/>
      <c r="BM159" s="247"/>
    </row>
    <row r="160" spans="2:102" ht="13.5" thickBot="1" x14ac:dyDescent="0.25">
      <c r="B160" s="57"/>
      <c r="C160" s="59"/>
      <c r="D160" s="253" t="s">
        <v>41</v>
      </c>
      <c r="E160" s="254">
        <v>1</v>
      </c>
      <c r="F160" s="70">
        <v>2</v>
      </c>
      <c r="G160" s="70">
        <v>3</v>
      </c>
      <c r="H160" s="70">
        <v>4</v>
      </c>
      <c r="I160" s="70">
        <v>5</v>
      </c>
      <c r="J160" s="70">
        <v>6</v>
      </c>
      <c r="K160" s="70">
        <v>7</v>
      </c>
      <c r="L160" s="70">
        <v>8</v>
      </c>
      <c r="M160" s="70">
        <v>9</v>
      </c>
      <c r="N160" s="70">
        <v>10</v>
      </c>
      <c r="O160" s="70">
        <v>11</v>
      </c>
      <c r="P160" s="71">
        <v>12</v>
      </c>
      <c r="Q160" s="87"/>
      <c r="S160" s="255"/>
      <c r="T160" s="256"/>
      <c r="U160" s="253" t="s">
        <v>41</v>
      </c>
      <c r="V160" s="254">
        <v>1</v>
      </c>
      <c r="W160" s="70">
        <v>2</v>
      </c>
      <c r="X160" s="70">
        <v>3</v>
      </c>
      <c r="Y160" s="70">
        <v>4</v>
      </c>
      <c r="Z160" s="70">
        <v>5</v>
      </c>
      <c r="AA160" s="70">
        <v>6</v>
      </c>
      <c r="AB160" s="70">
        <v>7</v>
      </c>
      <c r="AC160" s="70">
        <v>8</v>
      </c>
      <c r="AD160" s="70">
        <v>9</v>
      </c>
      <c r="AE160" s="70">
        <v>10</v>
      </c>
      <c r="AF160" s="70">
        <v>11</v>
      </c>
      <c r="AG160" s="71">
        <v>12</v>
      </c>
      <c r="AI160" s="57"/>
      <c r="AJ160" s="59"/>
      <c r="AK160" s="69" t="s">
        <v>41</v>
      </c>
      <c r="AL160" s="72">
        <v>1</v>
      </c>
      <c r="AM160" s="70">
        <v>2</v>
      </c>
      <c r="AN160" s="70">
        <v>3</v>
      </c>
      <c r="AO160" s="70">
        <v>4</v>
      </c>
      <c r="AP160" s="70">
        <v>5</v>
      </c>
      <c r="AQ160" s="70">
        <v>6</v>
      </c>
      <c r="AR160" s="70">
        <v>7</v>
      </c>
      <c r="AS160" s="70">
        <v>8</v>
      </c>
      <c r="AT160" s="70">
        <v>9</v>
      </c>
      <c r="AU160" s="70">
        <v>10</v>
      </c>
      <c r="AV160" s="70">
        <v>11</v>
      </c>
      <c r="AW160" s="71">
        <v>12</v>
      </c>
      <c r="AY160" s="57"/>
      <c r="AZ160" s="59"/>
      <c r="BA160" s="253" t="s">
        <v>41</v>
      </c>
      <c r="BB160" s="254">
        <v>1</v>
      </c>
      <c r="BC160" s="70">
        <v>2</v>
      </c>
      <c r="BD160" s="70">
        <v>3</v>
      </c>
      <c r="BE160" s="70">
        <v>4</v>
      </c>
      <c r="BF160" s="70">
        <v>5</v>
      </c>
      <c r="BG160" s="70">
        <v>6</v>
      </c>
      <c r="BH160" s="70">
        <v>7</v>
      </c>
      <c r="BI160" s="70">
        <v>8</v>
      </c>
      <c r="BJ160" s="70">
        <v>9</v>
      </c>
      <c r="BK160" s="70">
        <v>10</v>
      </c>
      <c r="BL160" s="70">
        <v>11</v>
      </c>
      <c r="BM160" s="71">
        <v>12</v>
      </c>
      <c r="CK160" s="5" t="s">
        <v>380</v>
      </c>
      <c r="CL160" s="36"/>
      <c r="CM160" s="48"/>
      <c r="CN160" s="48"/>
      <c r="CO160" s="48"/>
      <c r="CP160" s="48"/>
      <c r="CQ160" s="48"/>
      <c r="CR160" s="41" t="s">
        <v>42</v>
      </c>
      <c r="CS160" s="48"/>
      <c r="CT160" s="48"/>
      <c r="CU160" s="48"/>
      <c r="CV160" s="48"/>
      <c r="CW160" s="48"/>
      <c r="CX160" s="49"/>
    </row>
    <row r="161" spans="2:102" ht="13.5" thickBot="1" x14ac:dyDescent="0.25">
      <c r="B161" s="8" t="s">
        <v>73</v>
      </c>
      <c r="C161" s="58"/>
      <c r="D161" s="423">
        <f>'3 Saalis'!D18</f>
        <v>0</v>
      </c>
      <c r="E161" s="461">
        <f>'3 Saalis'!E18</f>
        <v>0</v>
      </c>
      <c r="F161" s="453">
        <f>'3 Saalis'!F18</f>
        <v>0</v>
      </c>
      <c r="G161" s="453">
        <f>'3 Saalis'!G18</f>
        <v>0</v>
      </c>
      <c r="H161" s="453">
        <f>'3 Saalis'!H18</f>
        <v>0</v>
      </c>
      <c r="I161" s="453">
        <f>'3 Saalis'!I18</f>
        <v>0</v>
      </c>
      <c r="J161" s="453">
        <f>'3 Saalis'!J18</f>
        <v>0</v>
      </c>
      <c r="K161" s="453">
        <f>'3 Saalis'!K18</f>
        <v>0</v>
      </c>
      <c r="L161" s="453">
        <f>'3 Saalis'!L18</f>
        <v>0</v>
      </c>
      <c r="M161" s="453">
        <f>'3 Saalis'!M18</f>
        <v>0</v>
      </c>
      <c r="N161" s="453">
        <f>'3 Saalis'!N18</f>
        <v>0</v>
      </c>
      <c r="O161" s="453">
        <f>'3 Saalis'!O18</f>
        <v>0</v>
      </c>
      <c r="P161" s="453">
        <f>'3 Saalis'!P18</f>
        <v>0</v>
      </c>
      <c r="Q161" s="257"/>
      <c r="S161" s="260" t="s">
        <v>73</v>
      </c>
      <c r="T161" s="261"/>
      <c r="U161" s="423">
        <f t="shared" ref="U161:AG162" si="211">D161</f>
        <v>0</v>
      </c>
      <c r="V161" s="528">
        <f t="shared" si="211"/>
        <v>0</v>
      </c>
      <c r="W161" s="488">
        <f t="shared" si="211"/>
        <v>0</v>
      </c>
      <c r="X161" s="488">
        <f t="shared" si="211"/>
        <v>0</v>
      </c>
      <c r="Y161" s="488">
        <f t="shared" si="211"/>
        <v>0</v>
      </c>
      <c r="Z161" s="488">
        <f t="shared" si="211"/>
        <v>0</v>
      </c>
      <c r="AA161" s="488">
        <f t="shared" si="211"/>
        <v>0</v>
      </c>
      <c r="AB161" s="488">
        <f t="shared" si="211"/>
        <v>0</v>
      </c>
      <c r="AC161" s="488">
        <f t="shared" si="211"/>
        <v>0</v>
      </c>
      <c r="AD161" s="488">
        <f t="shared" si="211"/>
        <v>0</v>
      </c>
      <c r="AE161" s="488">
        <f t="shared" si="211"/>
        <v>0</v>
      </c>
      <c r="AF161" s="488">
        <f t="shared" si="211"/>
        <v>0</v>
      </c>
      <c r="AG161" s="489">
        <f t="shared" si="211"/>
        <v>0</v>
      </c>
      <c r="AI161" s="8" t="s">
        <v>73</v>
      </c>
      <c r="AJ161" s="58"/>
      <c r="AK161" s="424">
        <f t="shared" ref="AK161:AW161" si="212">D161</f>
        <v>0</v>
      </c>
      <c r="AL161" s="589">
        <f t="shared" si="212"/>
        <v>0</v>
      </c>
      <c r="AM161" s="589">
        <f t="shared" si="212"/>
        <v>0</v>
      </c>
      <c r="AN161" s="589">
        <f t="shared" si="212"/>
        <v>0</v>
      </c>
      <c r="AO161" s="589">
        <f t="shared" si="212"/>
        <v>0</v>
      </c>
      <c r="AP161" s="589">
        <f t="shared" si="212"/>
        <v>0</v>
      </c>
      <c r="AQ161" s="589">
        <f t="shared" si="212"/>
        <v>0</v>
      </c>
      <c r="AR161" s="589">
        <f t="shared" si="212"/>
        <v>0</v>
      </c>
      <c r="AS161" s="589">
        <f t="shared" si="212"/>
        <v>0</v>
      </c>
      <c r="AT161" s="589">
        <f t="shared" si="212"/>
        <v>0</v>
      </c>
      <c r="AU161" s="589">
        <f t="shared" si="212"/>
        <v>0</v>
      </c>
      <c r="AV161" s="589">
        <f t="shared" si="212"/>
        <v>0</v>
      </c>
      <c r="AW161" s="1135">
        <f t="shared" si="212"/>
        <v>0</v>
      </c>
      <c r="AY161" s="8" t="s">
        <v>73</v>
      </c>
      <c r="AZ161" s="58"/>
      <c r="BA161" s="423">
        <f t="shared" ref="BA161:BM161" si="213">AK161</f>
        <v>0</v>
      </c>
      <c r="BB161" s="488">
        <f t="shared" si="213"/>
        <v>0</v>
      </c>
      <c r="BC161" s="488">
        <f t="shared" si="213"/>
        <v>0</v>
      </c>
      <c r="BD161" s="488">
        <f t="shared" si="213"/>
        <v>0</v>
      </c>
      <c r="BE161" s="488">
        <f t="shared" si="213"/>
        <v>0</v>
      </c>
      <c r="BF161" s="488">
        <f t="shared" si="213"/>
        <v>0</v>
      </c>
      <c r="BG161" s="488">
        <f t="shared" si="213"/>
        <v>0</v>
      </c>
      <c r="BH161" s="488">
        <f t="shared" si="213"/>
        <v>0</v>
      </c>
      <c r="BI161" s="488">
        <f t="shared" si="213"/>
        <v>0</v>
      </c>
      <c r="BJ161" s="488">
        <f t="shared" si="213"/>
        <v>0</v>
      </c>
      <c r="BK161" s="488">
        <f t="shared" si="213"/>
        <v>0</v>
      </c>
      <c r="BL161" s="488">
        <f t="shared" si="213"/>
        <v>0</v>
      </c>
      <c r="BM161" s="489">
        <f t="shared" si="213"/>
        <v>0</v>
      </c>
      <c r="CK161" s="40"/>
      <c r="CL161" s="56"/>
      <c r="CM161" s="72">
        <v>1</v>
      </c>
      <c r="CN161" s="70">
        <v>2</v>
      </c>
      <c r="CO161" s="70">
        <v>3</v>
      </c>
      <c r="CP161" s="70">
        <v>4</v>
      </c>
      <c r="CQ161" s="70">
        <v>5</v>
      </c>
      <c r="CR161" s="70">
        <v>6</v>
      </c>
      <c r="CS161" s="70">
        <v>7</v>
      </c>
      <c r="CT161" s="70">
        <v>8</v>
      </c>
      <c r="CU161" s="70">
        <v>9</v>
      </c>
      <c r="CV161" s="70">
        <v>10</v>
      </c>
      <c r="CW161" s="70">
        <v>11</v>
      </c>
      <c r="CX161" s="71">
        <v>12</v>
      </c>
    </row>
    <row r="162" spans="2:102" x14ac:dyDescent="0.2">
      <c r="B162" s="57" t="s">
        <v>64</v>
      </c>
      <c r="C162" s="59" t="s">
        <v>76</v>
      </c>
      <c r="D162" s="501">
        <f t="shared" ref="D162:D170" si="214">SUM(E162:P162)</f>
        <v>0</v>
      </c>
      <c r="E162" s="1487"/>
      <c r="F162" s="1488"/>
      <c r="G162" s="1488"/>
      <c r="H162" s="1488"/>
      <c r="I162" s="1488"/>
      <c r="J162" s="1488"/>
      <c r="K162" s="1488"/>
      <c r="L162" s="1488"/>
      <c r="M162" s="1488"/>
      <c r="N162" s="1488"/>
      <c r="O162" s="1488"/>
      <c r="P162" s="1489"/>
      <c r="S162" s="255" t="s">
        <v>64</v>
      </c>
      <c r="T162" s="256" t="s">
        <v>76</v>
      </c>
      <c r="U162" s="452">
        <f t="shared" ref="U162:U168" si="215">SUM(V162:AG162)</f>
        <v>0</v>
      </c>
      <c r="V162" s="519">
        <f>E162</f>
        <v>0</v>
      </c>
      <c r="W162" s="500">
        <f>F162</f>
        <v>0</v>
      </c>
      <c r="X162" s="500">
        <f t="shared" si="211"/>
        <v>0</v>
      </c>
      <c r="Y162" s="500">
        <f t="shared" si="211"/>
        <v>0</v>
      </c>
      <c r="Z162" s="500">
        <f t="shared" si="211"/>
        <v>0</v>
      </c>
      <c r="AA162" s="500">
        <f t="shared" si="211"/>
        <v>0</v>
      </c>
      <c r="AB162" s="500">
        <f t="shared" si="211"/>
        <v>0</v>
      </c>
      <c r="AC162" s="500">
        <f t="shared" si="211"/>
        <v>0</v>
      </c>
      <c r="AD162" s="500">
        <f t="shared" si="211"/>
        <v>0</v>
      </c>
      <c r="AE162" s="500">
        <f t="shared" si="211"/>
        <v>0</v>
      </c>
      <c r="AF162" s="500">
        <f t="shared" si="211"/>
        <v>0</v>
      </c>
      <c r="AG162" s="529">
        <f>P162</f>
        <v>0</v>
      </c>
      <c r="AI162" s="5" t="s">
        <v>64</v>
      </c>
      <c r="AJ162" s="36" t="s">
        <v>76</v>
      </c>
      <c r="AK162" s="576">
        <f t="shared" ref="AK162:AK170" si="216">IF(D162=0,0,BA162/D162)</f>
        <v>0</v>
      </c>
      <c r="AL162" s="1496">
        <v>0.19</v>
      </c>
      <c r="AM162" s="1511">
        <v>0.19</v>
      </c>
      <c r="AN162" s="1511">
        <v>0.19</v>
      </c>
      <c r="AO162" s="1511">
        <v>0.19</v>
      </c>
      <c r="AP162" s="1511">
        <v>0.19</v>
      </c>
      <c r="AQ162" s="1511">
        <v>0.19</v>
      </c>
      <c r="AR162" s="1511">
        <v>0.19</v>
      </c>
      <c r="AS162" s="1511">
        <v>0.19</v>
      </c>
      <c r="AT162" s="1511">
        <v>0.19</v>
      </c>
      <c r="AU162" s="1511">
        <v>0.19</v>
      </c>
      <c r="AV162" s="1511">
        <v>0.19</v>
      </c>
      <c r="AW162" s="1511">
        <v>0.19</v>
      </c>
      <c r="AY162" s="5" t="s">
        <v>64</v>
      </c>
      <c r="AZ162" s="36" t="s">
        <v>76</v>
      </c>
      <c r="BA162" s="544">
        <f t="shared" ref="BA162:BA170" si="217">SUM(BB162:BM162)</f>
        <v>0</v>
      </c>
      <c r="BB162" s="519">
        <f>V162*AL162</f>
        <v>0</v>
      </c>
      <c r="BC162" s="500">
        <f t="shared" ref="BC162:BM170" si="218">W162*AM162</f>
        <v>0</v>
      </c>
      <c r="BD162" s="500">
        <f t="shared" si="218"/>
        <v>0</v>
      </c>
      <c r="BE162" s="500">
        <f t="shared" si="218"/>
        <v>0</v>
      </c>
      <c r="BF162" s="500">
        <f t="shared" si="218"/>
        <v>0</v>
      </c>
      <c r="BG162" s="500">
        <f t="shared" si="218"/>
        <v>0</v>
      </c>
      <c r="BH162" s="500">
        <f t="shared" si="218"/>
        <v>0</v>
      </c>
      <c r="BI162" s="500">
        <f t="shared" si="218"/>
        <v>0</v>
      </c>
      <c r="BJ162" s="500">
        <f t="shared" si="218"/>
        <v>0</v>
      </c>
      <c r="BK162" s="500">
        <f t="shared" si="218"/>
        <v>0</v>
      </c>
      <c r="BL162" s="500">
        <f t="shared" si="218"/>
        <v>0</v>
      </c>
      <c r="BM162" s="529">
        <f t="shared" si="218"/>
        <v>0</v>
      </c>
      <c r="CK162" s="57"/>
      <c r="CL162" s="1161" t="str">
        <f>CK22</f>
        <v>Verkko1</v>
      </c>
      <c r="CM162" s="433">
        <f t="shared" ref="CM162:CX162" si="219">CM42</f>
        <v>0</v>
      </c>
      <c r="CN162" s="434">
        <f t="shared" si="219"/>
        <v>0</v>
      </c>
      <c r="CO162" s="434">
        <f t="shared" si="219"/>
        <v>0</v>
      </c>
      <c r="CP162" s="434">
        <f t="shared" si="219"/>
        <v>0</v>
      </c>
      <c r="CQ162" s="434">
        <f t="shared" si="219"/>
        <v>0</v>
      </c>
      <c r="CR162" s="434">
        <f t="shared" si="219"/>
        <v>0</v>
      </c>
      <c r="CS162" s="434">
        <f t="shared" si="219"/>
        <v>0</v>
      </c>
      <c r="CT162" s="434">
        <f t="shared" si="219"/>
        <v>0</v>
      </c>
      <c r="CU162" s="434">
        <f t="shared" si="219"/>
        <v>0</v>
      </c>
      <c r="CV162" s="434">
        <f t="shared" si="219"/>
        <v>0</v>
      </c>
      <c r="CW162" s="434">
        <f t="shared" si="219"/>
        <v>0</v>
      </c>
      <c r="CX162" s="435">
        <f t="shared" si="219"/>
        <v>0</v>
      </c>
    </row>
    <row r="163" spans="2:102" x14ac:dyDescent="0.2">
      <c r="B163" s="57"/>
      <c r="C163" s="59" t="s">
        <v>77</v>
      </c>
      <c r="D163" s="501">
        <f t="shared" si="214"/>
        <v>0</v>
      </c>
      <c r="E163" s="1486"/>
      <c r="F163" s="1471"/>
      <c r="G163" s="1471"/>
      <c r="H163" s="1471"/>
      <c r="I163" s="1471"/>
      <c r="J163" s="1471"/>
      <c r="K163" s="1471"/>
      <c r="L163" s="1471"/>
      <c r="M163" s="1471"/>
      <c r="N163" s="1471"/>
      <c r="O163" s="1471"/>
      <c r="P163" s="1472"/>
      <c r="S163" s="255"/>
      <c r="T163" s="256" t="s">
        <v>77</v>
      </c>
      <c r="U163" s="501">
        <f t="shared" si="215"/>
        <v>0</v>
      </c>
      <c r="V163" s="530">
        <f>E163*'5 Kalan alkukäsittely satamassa'!$D$19</f>
        <v>0</v>
      </c>
      <c r="W163" s="524">
        <f>F163*'5 Kalan alkukäsittely satamassa'!$D$19</f>
        <v>0</v>
      </c>
      <c r="X163" s="524">
        <f>G163*'5 Kalan alkukäsittely satamassa'!$D$19</f>
        <v>0</v>
      </c>
      <c r="Y163" s="524">
        <f>H163*'5 Kalan alkukäsittely satamassa'!$D$19</f>
        <v>0</v>
      </c>
      <c r="Z163" s="524">
        <f>I163*'5 Kalan alkukäsittely satamassa'!$D$19</f>
        <v>0</v>
      </c>
      <c r="AA163" s="524">
        <f>J163*'5 Kalan alkukäsittely satamassa'!$D$19</f>
        <v>0</v>
      </c>
      <c r="AB163" s="524">
        <f>K163*'5 Kalan alkukäsittely satamassa'!$D$19</f>
        <v>0</v>
      </c>
      <c r="AC163" s="524">
        <f>L163*'5 Kalan alkukäsittely satamassa'!$D$19</f>
        <v>0</v>
      </c>
      <c r="AD163" s="524">
        <f>M163*'5 Kalan alkukäsittely satamassa'!$D$19</f>
        <v>0</v>
      </c>
      <c r="AE163" s="524">
        <f>N163*'5 Kalan alkukäsittely satamassa'!$D$19</f>
        <v>0</v>
      </c>
      <c r="AF163" s="524">
        <f>O163*'5 Kalan alkukäsittely satamassa'!$D$19</f>
        <v>0</v>
      </c>
      <c r="AG163" s="525">
        <f>P163*'5 Kalan alkukäsittely satamassa'!$D$19</f>
        <v>0</v>
      </c>
      <c r="AI163" s="57"/>
      <c r="AJ163" s="59" t="s">
        <v>77</v>
      </c>
      <c r="AK163" s="576">
        <f t="shared" si="216"/>
        <v>0</v>
      </c>
      <c r="AL163" s="1501">
        <v>1</v>
      </c>
      <c r="AM163" s="1502">
        <v>1</v>
      </c>
      <c r="AN163" s="1502">
        <v>1</v>
      </c>
      <c r="AO163" s="1502">
        <v>1</v>
      </c>
      <c r="AP163" s="1502">
        <v>1</v>
      </c>
      <c r="AQ163" s="1502">
        <v>1</v>
      </c>
      <c r="AR163" s="1502">
        <v>1</v>
      </c>
      <c r="AS163" s="1502">
        <v>1</v>
      </c>
      <c r="AT163" s="1502">
        <v>1</v>
      </c>
      <c r="AU163" s="1502">
        <v>1</v>
      </c>
      <c r="AV163" s="1502">
        <v>1</v>
      </c>
      <c r="AW163" s="1503">
        <v>1</v>
      </c>
      <c r="AY163" s="57"/>
      <c r="AZ163" s="59" t="s">
        <v>77</v>
      </c>
      <c r="BA163" s="501">
        <f>SUM(BB163:BM163)</f>
        <v>0</v>
      </c>
      <c r="BB163" s="530">
        <f t="shared" ref="BB163:BB170" si="220">V163*AL163</f>
        <v>0</v>
      </c>
      <c r="BC163" s="524">
        <f t="shared" si="218"/>
        <v>0</v>
      </c>
      <c r="BD163" s="524">
        <f t="shared" si="218"/>
        <v>0</v>
      </c>
      <c r="BE163" s="524">
        <f t="shared" si="218"/>
        <v>0</v>
      </c>
      <c r="BF163" s="524">
        <f t="shared" si="218"/>
        <v>0</v>
      </c>
      <c r="BG163" s="524">
        <f t="shared" si="218"/>
        <v>0</v>
      </c>
      <c r="BH163" s="524">
        <f t="shared" si="218"/>
        <v>0</v>
      </c>
      <c r="BI163" s="524">
        <f t="shared" si="218"/>
        <v>0</v>
      </c>
      <c r="BJ163" s="524">
        <f t="shared" si="218"/>
        <v>0</v>
      </c>
      <c r="BK163" s="524">
        <f t="shared" si="218"/>
        <v>0</v>
      </c>
      <c r="BL163" s="524">
        <f t="shared" si="218"/>
        <v>0</v>
      </c>
      <c r="BM163" s="525">
        <f t="shared" si="218"/>
        <v>0</v>
      </c>
      <c r="CK163" s="57"/>
      <c r="CL163" s="1162" t="str">
        <f>CK45</f>
        <v>Verkko2</v>
      </c>
      <c r="CM163" s="437">
        <f>CM65</f>
        <v>0</v>
      </c>
      <c r="CN163" s="438">
        <f t="shared" ref="CN163:CX163" si="221">CN65</f>
        <v>0</v>
      </c>
      <c r="CO163" s="438">
        <f t="shared" si="221"/>
        <v>0</v>
      </c>
      <c r="CP163" s="438">
        <f t="shared" si="221"/>
        <v>0</v>
      </c>
      <c r="CQ163" s="438">
        <f t="shared" si="221"/>
        <v>0</v>
      </c>
      <c r="CR163" s="438">
        <f t="shared" si="221"/>
        <v>0</v>
      </c>
      <c r="CS163" s="438">
        <f t="shared" si="221"/>
        <v>0</v>
      </c>
      <c r="CT163" s="438">
        <f t="shared" si="221"/>
        <v>0</v>
      </c>
      <c r="CU163" s="438">
        <f t="shared" si="221"/>
        <v>0</v>
      </c>
      <c r="CV163" s="438">
        <f t="shared" si="221"/>
        <v>0</v>
      </c>
      <c r="CW163" s="438">
        <f t="shared" si="221"/>
        <v>0</v>
      </c>
      <c r="CX163" s="439">
        <f t="shared" si="221"/>
        <v>0</v>
      </c>
    </row>
    <row r="164" spans="2:102" x14ac:dyDescent="0.2">
      <c r="B164" s="57"/>
      <c r="C164" s="59" t="s">
        <v>78</v>
      </c>
      <c r="D164" s="501">
        <f t="shared" si="214"/>
        <v>0</v>
      </c>
      <c r="E164" s="1495"/>
      <c r="F164" s="1474"/>
      <c r="G164" s="1474"/>
      <c r="H164" s="1474"/>
      <c r="I164" s="1474"/>
      <c r="J164" s="1474"/>
      <c r="K164" s="1474"/>
      <c r="L164" s="1474"/>
      <c r="M164" s="1474"/>
      <c r="N164" s="1474"/>
      <c r="O164" s="1474"/>
      <c r="P164" s="1475"/>
      <c r="S164" s="255"/>
      <c r="T164" s="256" t="s">
        <v>78</v>
      </c>
      <c r="U164" s="452">
        <f t="shared" si="215"/>
        <v>0</v>
      </c>
      <c r="V164" s="530">
        <f>E164*'5 Kalan alkukäsittely satamassa'!$F$19</f>
        <v>0</v>
      </c>
      <c r="W164" s="524">
        <f>F164*'5 Kalan alkukäsittely satamassa'!$F$19</f>
        <v>0</v>
      </c>
      <c r="X164" s="524">
        <f>G164*'5 Kalan alkukäsittely satamassa'!$F$19</f>
        <v>0</v>
      </c>
      <c r="Y164" s="524">
        <f>H164*'5 Kalan alkukäsittely satamassa'!$F$19</f>
        <v>0</v>
      </c>
      <c r="Z164" s="524">
        <f>I164*'5 Kalan alkukäsittely satamassa'!$F$19</f>
        <v>0</v>
      </c>
      <c r="AA164" s="524">
        <f>J164*'5 Kalan alkukäsittely satamassa'!$F$19</f>
        <v>0</v>
      </c>
      <c r="AB164" s="524">
        <f>K164*'5 Kalan alkukäsittely satamassa'!$F$19</f>
        <v>0</v>
      </c>
      <c r="AC164" s="524">
        <f>L164*'5 Kalan alkukäsittely satamassa'!$F$19</f>
        <v>0</v>
      </c>
      <c r="AD164" s="524">
        <f>M164*'5 Kalan alkukäsittely satamassa'!$F$19</f>
        <v>0</v>
      </c>
      <c r="AE164" s="524">
        <f>N164*'5 Kalan alkukäsittely satamassa'!$F$19</f>
        <v>0</v>
      </c>
      <c r="AF164" s="524">
        <f>O164*'5 Kalan alkukäsittely satamassa'!$F$19</f>
        <v>0</v>
      </c>
      <c r="AG164" s="525">
        <f>P164*'5 Kalan alkukäsittely satamassa'!$F$19</f>
        <v>0</v>
      </c>
      <c r="AI164" s="57"/>
      <c r="AJ164" s="59" t="s">
        <v>78</v>
      </c>
      <c r="AK164" s="576">
        <f t="shared" si="216"/>
        <v>0</v>
      </c>
      <c r="AL164" s="1501">
        <v>7</v>
      </c>
      <c r="AM164" s="1502">
        <v>7</v>
      </c>
      <c r="AN164" s="1502">
        <v>7</v>
      </c>
      <c r="AO164" s="1502">
        <v>7</v>
      </c>
      <c r="AP164" s="1502">
        <v>7</v>
      </c>
      <c r="AQ164" s="1502">
        <v>7</v>
      </c>
      <c r="AR164" s="1502">
        <v>7</v>
      </c>
      <c r="AS164" s="1502">
        <v>7</v>
      </c>
      <c r="AT164" s="1502">
        <v>7</v>
      </c>
      <c r="AU164" s="1502">
        <v>7</v>
      </c>
      <c r="AV164" s="1502">
        <v>7</v>
      </c>
      <c r="AW164" s="1503">
        <v>7</v>
      </c>
      <c r="AY164" s="57"/>
      <c r="AZ164" s="59" t="s">
        <v>78</v>
      </c>
      <c r="BA164" s="501">
        <f t="shared" si="217"/>
        <v>0</v>
      </c>
      <c r="BB164" s="530">
        <f t="shared" si="220"/>
        <v>0</v>
      </c>
      <c r="BC164" s="524">
        <f t="shared" si="218"/>
        <v>0</v>
      </c>
      <c r="BD164" s="524">
        <f t="shared" si="218"/>
        <v>0</v>
      </c>
      <c r="BE164" s="524">
        <f t="shared" si="218"/>
        <v>0</v>
      </c>
      <c r="BF164" s="524">
        <f t="shared" si="218"/>
        <v>0</v>
      </c>
      <c r="BG164" s="524">
        <f t="shared" si="218"/>
        <v>0</v>
      </c>
      <c r="BH164" s="524">
        <f t="shared" si="218"/>
        <v>0</v>
      </c>
      <c r="BI164" s="524">
        <f t="shared" si="218"/>
        <v>0</v>
      </c>
      <c r="BJ164" s="524">
        <f t="shared" si="218"/>
        <v>0</v>
      </c>
      <c r="BK164" s="524">
        <f t="shared" si="218"/>
        <v>0</v>
      </c>
      <c r="BL164" s="524">
        <f t="shared" si="218"/>
        <v>0</v>
      </c>
      <c r="BM164" s="525">
        <f t="shared" si="218"/>
        <v>0</v>
      </c>
      <c r="CK164" s="57"/>
      <c r="CL164" s="1162" t="str">
        <f>CK68</f>
        <v>Isorysä1</v>
      </c>
      <c r="CM164" s="437">
        <f t="shared" ref="CM164:CX164" si="222">CM88</f>
        <v>0</v>
      </c>
      <c r="CN164" s="438">
        <f t="shared" si="222"/>
        <v>0</v>
      </c>
      <c r="CO164" s="438">
        <f t="shared" si="222"/>
        <v>0</v>
      </c>
      <c r="CP164" s="438">
        <f t="shared" si="222"/>
        <v>0</v>
      </c>
      <c r="CQ164" s="438">
        <f t="shared" si="222"/>
        <v>0</v>
      </c>
      <c r="CR164" s="438">
        <f t="shared" si="222"/>
        <v>0</v>
      </c>
      <c r="CS164" s="438">
        <f t="shared" si="222"/>
        <v>0</v>
      </c>
      <c r="CT164" s="438">
        <f t="shared" si="222"/>
        <v>0</v>
      </c>
      <c r="CU164" s="438">
        <f t="shared" si="222"/>
        <v>0</v>
      </c>
      <c r="CV164" s="438">
        <f t="shared" si="222"/>
        <v>0</v>
      </c>
      <c r="CW164" s="438">
        <f t="shared" si="222"/>
        <v>0</v>
      </c>
      <c r="CX164" s="439">
        <f t="shared" si="222"/>
        <v>0</v>
      </c>
    </row>
    <row r="165" spans="2:102" ht="13.5" thickBot="1" x14ac:dyDescent="0.25">
      <c r="B165" s="40"/>
      <c r="C165" s="56" t="s">
        <v>63</v>
      </c>
      <c r="D165" s="498">
        <f t="shared" si="214"/>
        <v>0</v>
      </c>
      <c r="E165" s="1483"/>
      <c r="F165" s="1477"/>
      <c r="G165" s="1477"/>
      <c r="H165" s="1477"/>
      <c r="I165" s="1477"/>
      <c r="J165" s="1477"/>
      <c r="K165" s="1477"/>
      <c r="L165" s="1477"/>
      <c r="M165" s="1477"/>
      <c r="N165" s="1477"/>
      <c r="O165" s="1477"/>
      <c r="P165" s="1478"/>
      <c r="S165" s="258"/>
      <c r="T165" s="259" t="s">
        <v>63</v>
      </c>
      <c r="U165" s="498">
        <f t="shared" si="215"/>
        <v>0</v>
      </c>
      <c r="V165" s="541">
        <f>E165</f>
        <v>0</v>
      </c>
      <c r="W165" s="542">
        <f>F165</f>
        <v>0</v>
      </c>
      <c r="X165" s="542">
        <f t="shared" ref="X165:AG165" si="223">G165</f>
        <v>0</v>
      </c>
      <c r="Y165" s="542">
        <f t="shared" si="223"/>
        <v>0</v>
      </c>
      <c r="Z165" s="542">
        <f t="shared" si="223"/>
        <v>0</v>
      </c>
      <c r="AA165" s="542">
        <f t="shared" si="223"/>
        <v>0</v>
      </c>
      <c r="AB165" s="542">
        <f t="shared" si="223"/>
        <v>0</v>
      </c>
      <c r="AC165" s="542">
        <f t="shared" si="223"/>
        <v>0</v>
      </c>
      <c r="AD165" s="542">
        <f t="shared" si="223"/>
        <v>0</v>
      </c>
      <c r="AE165" s="542">
        <f t="shared" si="223"/>
        <v>0</v>
      </c>
      <c r="AF165" s="542">
        <f t="shared" si="223"/>
        <v>0</v>
      </c>
      <c r="AG165" s="532">
        <f t="shared" si="223"/>
        <v>0</v>
      </c>
      <c r="AI165" s="40"/>
      <c r="AJ165" s="56" t="s">
        <v>63</v>
      </c>
      <c r="AK165" s="577">
        <f t="shared" si="216"/>
        <v>0</v>
      </c>
      <c r="AL165" s="1504">
        <v>0.09</v>
      </c>
      <c r="AM165" s="1505">
        <v>0.09</v>
      </c>
      <c r="AN165" s="1505">
        <v>0.09</v>
      </c>
      <c r="AO165" s="1505">
        <v>0.09</v>
      </c>
      <c r="AP165" s="1505">
        <v>0.09</v>
      </c>
      <c r="AQ165" s="1505">
        <v>0.09</v>
      </c>
      <c r="AR165" s="1505">
        <v>0.09</v>
      </c>
      <c r="AS165" s="1505">
        <v>0.09</v>
      </c>
      <c r="AT165" s="1505">
        <v>0.09</v>
      </c>
      <c r="AU165" s="1505">
        <v>0.09</v>
      </c>
      <c r="AV165" s="1505">
        <v>0.09</v>
      </c>
      <c r="AW165" s="1506">
        <v>0.09</v>
      </c>
      <c r="AY165" s="40"/>
      <c r="AZ165" s="56" t="s">
        <v>63</v>
      </c>
      <c r="BA165" s="555">
        <f t="shared" si="217"/>
        <v>0</v>
      </c>
      <c r="BB165" s="541">
        <f t="shared" si="220"/>
        <v>0</v>
      </c>
      <c r="BC165" s="542">
        <f t="shared" si="218"/>
        <v>0</v>
      </c>
      <c r="BD165" s="542">
        <f t="shared" si="218"/>
        <v>0</v>
      </c>
      <c r="BE165" s="542">
        <f t="shared" si="218"/>
        <v>0</v>
      </c>
      <c r="BF165" s="542">
        <f t="shared" si="218"/>
        <v>0</v>
      </c>
      <c r="BG165" s="542">
        <f t="shared" si="218"/>
        <v>0</v>
      </c>
      <c r="BH165" s="542">
        <f t="shared" si="218"/>
        <v>0</v>
      </c>
      <c r="BI165" s="542">
        <f t="shared" si="218"/>
        <v>0</v>
      </c>
      <c r="BJ165" s="542">
        <f t="shared" si="218"/>
        <v>0</v>
      </c>
      <c r="BK165" s="542">
        <f t="shared" si="218"/>
        <v>0</v>
      </c>
      <c r="BL165" s="542">
        <f t="shared" si="218"/>
        <v>0</v>
      </c>
      <c r="BM165" s="543">
        <f t="shared" si="218"/>
        <v>0</v>
      </c>
      <c r="CK165" s="57"/>
      <c r="CL165" s="1162" t="str">
        <f>CK91</f>
        <v>Isorysä2</v>
      </c>
      <c r="CM165" s="437">
        <f>CM111</f>
        <v>0</v>
      </c>
      <c r="CN165" s="438">
        <f t="shared" ref="CN165:CX165" si="224">CN111</f>
        <v>0</v>
      </c>
      <c r="CO165" s="438">
        <f t="shared" si="224"/>
        <v>0</v>
      </c>
      <c r="CP165" s="438">
        <f t="shared" si="224"/>
        <v>0</v>
      </c>
      <c r="CQ165" s="438">
        <f t="shared" si="224"/>
        <v>0</v>
      </c>
      <c r="CR165" s="438">
        <f t="shared" si="224"/>
        <v>0</v>
      </c>
      <c r="CS165" s="438">
        <f t="shared" si="224"/>
        <v>0</v>
      </c>
      <c r="CT165" s="438">
        <f t="shared" si="224"/>
        <v>0</v>
      </c>
      <c r="CU165" s="438">
        <f t="shared" si="224"/>
        <v>0</v>
      </c>
      <c r="CV165" s="438">
        <f t="shared" si="224"/>
        <v>0</v>
      </c>
      <c r="CW165" s="438">
        <f t="shared" si="224"/>
        <v>0</v>
      </c>
      <c r="CX165" s="439">
        <f t="shared" si="224"/>
        <v>0</v>
      </c>
    </row>
    <row r="166" spans="2:102" x14ac:dyDescent="0.2">
      <c r="B166" s="57" t="s">
        <v>79</v>
      </c>
      <c r="C166" s="59" t="s">
        <v>76</v>
      </c>
      <c r="D166" s="501">
        <f t="shared" si="214"/>
        <v>0</v>
      </c>
      <c r="E166" s="1484"/>
      <c r="F166" s="1480"/>
      <c r="G166" s="1480"/>
      <c r="H166" s="1480"/>
      <c r="I166" s="1480"/>
      <c r="J166" s="1480"/>
      <c r="K166" s="1480"/>
      <c r="L166" s="1480"/>
      <c r="M166" s="1480"/>
      <c r="N166" s="1480"/>
      <c r="O166" s="1480"/>
      <c r="P166" s="1481"/>
      <c r="S166" s="255" t="s">
        <v>79</v>
      </c>
      <c r="T166" s="256" t="s">
        <v>76</v>
      </c>
      <c r="U166" s="452">
        <f t="shared" si="215"/>
        <v>0</v>
      </c>
      <c r="V166" s="519">
        <f t="shared" ref="V166:AG166" si="225">E166</f>
        <v>0</v>
      </c>
      <c r="W166" s="500">
        <f t="shared" si="225"/>
        <v>0</v>
      </c>
      <c r="X166" s="500">
        <f t="shared" si="225"/>
        <v>0</v>
      </c>
      <c r="Y166" s="500">
        <f t="shared" si="225"/>
        <v>0</v>
      </c>
      <c r="Z166" s="500">
        <f t="shared" si="225"/>
        <v>0</v>
      </c>
      <c r="AA166" s="500">
        <f t="shared" si="225"/>
        <v>0</v>
      </c>
      <c r="AB166" s="500">
        <f t="shared" si="225"/>
        <v>0</v>
      </c>
      <c r="AC166" s="500">
        <f t="shared" si="225"/>
        <v>0</v>
      </c>
      <c r="AD166" s="500">
        <f t="shared" si="225"/>
        <v>0</v>
      </c>
      <c r="AE166" s="500">
        <f t="shared" si="225"/>
        <v>0</v>
      </c>
      <c r="AF166" s="500">
        <f t="shared" si="225"/>
        <v>0</v>
      </c>
      <c r="AG166" s="529">
        <f t="shared" si="225"/>
        <v>0</v>
      </c>
      <c r="AI166" s="5" t="s">
        <v>79</v>
      </c>
      <c r="AJ166" s="36" t="s">
        <v>76</v>
      </c>
      <c r="AK166" s="587">
        <f t="shared" si="216"/>
        <v>0</v>
      </c>
      <c r="AL166" s="1496">
        <v>1</v>
      </c>
      <c r="AM166" s="1511">
        <v>1</v>
      </c>
      <c r="AN166" s="1511">
        <v>1</v>
      </c>
      <c r="AO166" s="1511">
        <v>1</v>
      </c>
      <c r="AP166" s="1511">
        <v>1</v>
      </c>
      <c r="AQ166" s="1511">
        <v>1</v>
      </c>
      <c r="AR166" s="1511">
        <v>1</v>
      </c>
      <c r="AS166" s="1511">
        <v>1</v>
      </c>
      <c r="AT166" s="1511">
        <v>1</v>
      </c>
      <c r="AU166" s="1511">
        <v>1</v>
      </c>
      <c r="AV166" s="1511">
        <v>1</v>
      </c>
      <c r="AW166" s="1498">
        <v>1</v>
      </c>
      <c r="AY166" s="5" t="s">
        <v>79</v>
      </c>
      <c r="AZ166" s="59" t="s">
        <v>76</v>
      </c>
      <c r="BA166" s="544">
        <f t="shared" si="217"/>
        <v>0</v>
      </c>
      <c r="BB166" s="519">
        <f t="shared" si="220"/>
        <v>0</v>
      </c>
      <c r="BC166" s="500">
        <f t="shared" si="218"/>
        <v>0</v>
      </c>
      <c r="BD166" s="500">
        <f t="shared" si="218"/>
        <v>0</v>
      </c>
      <c r="BE166" s="500">
        <f t="shared" si="218"/>
        <v>0</v>
      </c>
      <c r="BF166" s="500">
        <f t="shared" si="218"/>
        <v>0</v>
      </c>
      <c r="BG166" s="500">
        <f t="shared" si="218"/>
        <v>0</v>
      </c>
      <c r="BH166" s="500">
        <f t="shared" si="218"/>
        <v>0</v>
      </c>
      <c r="BI166" s="500">
        <f t="shared" si="218"/>
        <v>0</v>
      </c>
      <c r="BJ166" s="500">
        <f t="shared" si="218"/>
        <v>0</v>
      </c>
      <c r="BK166" s="500">
        <f t="shared" si="218"/>
        <v>0</v>
      </c>
      <c r="BL166" s="500">
        <f t="shared" si="218"/>
        <v>0</v>
      </c>
      <c r="BM166" s="529">
        <f t="shared" si="218"/>
        <v>0</v>
      </c>
      <c r="CK166" s="57"/>
      <c r="CL166" s="1162" t="str">
        <f>CK114</f>
        <v>PU-rysä1</v>
      </c>
      <c r="CM166" s="437">
        <f t="shared" ref="CM166:CX166" si="226">CM134</f>
        <v>0</v>
      </c>
      <c r="CN166" s="438">
        <f t="shared" si="226"/>
        <v>0</v>
      </c>
      <c r="CO166" s="438">
        <f t="shared" si="226"/>
        <v>0</v>
      </c>
      <c r="CP166" s="438">
        <f t="shared" si="226"/>
        <v>0</v>
      </c>
      <c r="CQ166" s="438">
        <f t="shared" si="226"/>
        <v>0</v>
      </c>
      <c r="CR166" s="438">
        <f t="shared" si="226"/>
        <v>0</v>
      </c>
      <c r="CS166" s="438">
        <f t="shared" si="226"/>
        <v>0</v>
      </c>
      <c r="CT166" s="438">
        <f t="shared" si="226"/>
        <v>0</v>
      </c>
      <c r="CU166" s="438">
        <f t="shared" si="226"/>
        <v>0</v>
      </c>
      <c r="CV166" s="438">
        <f t="shared" si="226"/>
        <v>0</v>
      </c>
      <c r="CW166" s="438">
        <f t="shared" si="226"/>
        <v>0</v>
      </c>
      <c r="CX166" s="439">
        <f t="shared" si="226"/>
        <v>0</v>
      </c>
    </row>
    <row r="167" spans="2:102" ht="13.5" thickBot="1" x14ac:dyDescent="0.25">
      <c r="B167" s="57"/>
      <c r="C167" s="59" t="s">
        <v>77</v>
      </c>
      <c r="D167" s="501">
        <f t="shared" si="214"/>
        <v>0</v>
      </c>
      <c r="E167" s="1495"/>
      <c r="F167" s="1474"/>
      <c r="G167" s="1474"/>
      <c r="H167" s="1474"/>
      <c r="I167" s="1474"/>
      <c r="J167" s="1474"/>
      <c r="K167" s="1474"/>
      <c r="L167" s="1474"/>
      <c r="M167" s="1474"/>
      <c r="N167" s="1474"/>
      <c r="O167" s="1474"/>
      <c r="P167" s="1475"/>
      <c r="S167" s="255"/>
      <c r="T167" s="256" t="s">
        <v>77</v>
      </c>
      <c r="U167" s="452">
        <f t="shared" si="215"/>
        <v>0</v>
      </c>
      <c r="V167" s="530">
        <f>E167*'5 Kalan alkukäsittely satamassa'!$D$19</f>
        <v>0</v>
      </c>
      <c r="W167" s="524">
        <f>F167*'5 Kalan alkukäsittely satamassa'!$D$19</f>
        <v>0</v>
      </c>
      <c r="X167" s="524">
        <f>G167*'5 Kalan alkukäsittely satamassa'!$D$19</f>
        <v>0</v>
      </c>
      <c r="Y167" s="524">
        <f>H167*'5 Kalan alkukäsittely satamassa'!$D$19</f>
        <v>0</v>
      </c>
      <c r="Z167" s="524">
        <f>I167*'5 Kalan alkukäsittely satamassa'!$D$19</f>
        <v>0</v>
      </c>
      <c r="AA167" s="524">
        <f>J167*'5 Kalan alkukäsittely satamassa'!$D$19</f>
        <v>0</v>
      </c>
      <c r="AB167" s="524">
        <f>K167*'5 Kalan alkukäsittely satamassa'!$D$19</f>
        <v>0</v>
      </c>
      <c r="AC167" s="524">
        <f>L167*'5 Kalan alkukäsittely satamassa'!$D$19</f>
        <v>0</v>
      </c>
      <c r="AD167" s="524">
        <f>M167*'5 Kalan alkukäsittely satamassa'!$D$19</f>
        <v>0</v>
      </c>
      <c r="AE167" s="524">
        <f>N167*'5 Kalan alkukäsittely satamassa'!$D$19</f>
        <v>0</v>
      </c>
      <c r="AF167" s="524">
        <f>O167*'5 Kalan alkukäsittely satamassa'!$D$19</f>
        <v>0</v>
      </c>
      <c r="AG167" s="525">
        <f>P167*'5 Kalan alkukäsittely satamassa'!$D$19</f>
        <v>0</v>
      </c>
      <c r="AI167" s="57"/>
      <c r="AJ167" s="59" t="s">
        <v>77</v>
      </c>
      <c r="AK167" s="576">
        <f t="shared" si="216"/>
        <v>0</v>
      </c>
      <c r="AL167" s="1501">
        <v>2</v>
      </c>
      <c r="AM167" s="1502">
        <v>2</v>
      </c>
      <c r="AN167" s="1502">
        <v>2</v>
      </c>
      <c r="AO167" s="1502">
        <v>2</v>
      </c>
      <c r="AP167" s="1502">
        <v>2</v>
      </c>
      <c r="AQ167" s="1502">
        <v>2</v>
      </c>
      <c r="AR167" s="1502">
        <v>2</v>
      </c>
      <c r="AS167" s="1502">
        <v>2</v>
      </c>
      <c r="AT167" s="1502">
        <v>2</v>
      </c>
      <c r="AU167" s="1502">
        <v>2</v>
      </c>
      <c r="AV167" s="1502">
        <v>2</v>
      </c>
      <c r="AW167" s="1503">
        <v>2</v>
      </c>
      <c r="AY167" s="57"/>
      <c r="AZ167" s="59" t="s">
        <v>77</v>
      </c>
      <c r="BA167" s="501">
        <f t="shared" si="217"/>
        <v>0</v>
      </c>
      <c r="BB167" s="530">
        <f t="shared" si="220"/>
        <v>0</v>
      </c>
      <c r="BC167" s="524">
        <f t="shared" si="218"/>
        <v>0</v>
      </c>
      <c r="BD167" s="524">
        <f t="shared" si="218"/>
        <v>0</v>
      </c>
      <c r="BE167" s="524">
        <f t="shared" si="218"/>
        <v>0</v>
      </c>
      <c r="BF167" s="524">
        <f t="shared" si="218"/>
        <v>0</v>
      </c>
      <c r="BG167" s="524">
        <f t="shared" si="218"/>
        <v>0</v>
      </c>
      <c r="BH167" s="524">
        <f t="shared" si="218"/>
        <v>0</v>
      </c>
      <c r="BI167" s="524">
        <f t="shared" si="218"/>
        <v>0</v>
      </c>
      <c r="BJ167" s="524">
        <f t="shared" si="218"/>
        <v>0</v>
      </c>
      <c r="BK167" s="524">
        <f t="shared" si="218"/>
        <v>0</v>
      </c>
      <c r="BL167" s="524">
        <f t="shared" si="218"/>
        <v>0</v>
      </c>
      <c r="BM167" s="525">
        <f t="shared" si="218"/>
        <v>0</v>
      </c>
      <c r="CK167" s="40"/>
      <c r="CL167" s="1163" t="str">
        <f>CK137</f>
        <v>PU-rysä2</v>
      </c>
      <c r="CM167" s="440">
        <f>CM157</f>
        <v>0</v>
      </c>
      <c r="CN167" s="441">
        <f t="shared" ref="CN167:CX167" si="227">CN157</f>
        <v>0</v>
      </c>
      <c r="CO167" s="441">
        <f t="shared" si="227"/>
        <v>0</v>
      </c>
      <c r="CP167" s="441">
        <f t="shared" si="227"/>
        <v>0</v>
      </c>
      <c r="CQ167" s="441">
        <f t="shared" si="227"/>
        <v>0</v>
      </c>
      <c r="CR167" s="441">
        <f t="shared" si="227"/>
        <v>0</v>
      </c>
      <c r="CS167" s="441">
        <f t="shared" si="227"/>
        <v>0</v>
      </c>
      <c r="CT167" s="441">
        <f t="shared" si="227"/>
        <v>0</v>
      </c>
      <c r="CU167" s="441">
        <f t="shared" si="227"/>
        <v>0</v>
      </c>
      <c r="CV167" s="441">
        <f t="shared" si="227"/>
        <v>0</v>
      </c>
      <c r="CW167" s="441">
        <f t="shared" si="227"/>
        <v>0</v>
      </c>
      <c r="CX167" s="442">
        <f t="shared" si="227"/>
        <v>0</v>
      </c>
    </row>
    <row r="168" spans="2:102" x14ac:dyDescent="0.2">
      <c r="B168" s="57"/>
      <c r="C168" s="59" t="s">
        <v>78</v>
      </c>
      <c r="D168" s="501">
        <f t="shared" si="214"/>
        <v>0</v>
      </c>
      <c r="E168" s="1495"/>
      <c r="F168" s="1474"/>
      <c r="G168" s="1474"/>
      <c r="H168" s="1474"/>
      <c r="I168" s="1474"/>
      <c r="J168" s="1474"/>
      <c r="K168" s="1474"/>
      <c r="L168" s="1474"/>
      <c r="M168" s="1474"/>
      <c r="N168" s="1474"/>
      <c r="O168" s="1474"/>
      <c r="P168" s="1475"/>
      <c r="S168" s="255"/>
      <c r="T168" s="256" t="s">
        <v>78</v>
      </c>
      <c r="U168" s="452">
        <f t="shared" si="215"/>
        <v>0</v>
      </c>
      <c r="V168" s="530">
        <f>E168*'5 Kalan alkukäsittely satamassa'!$F$19</f>
        <v>0</v>
      </c>
      <c r="W168" s="524">
        <f>F168*'5 Kalan alkukäsittely satamassa'!$F$19</f>
        <v>0</v>
      </c>
      <c r="X168" s="524">
        <f>G168*'5 Kalan alkukäsittely satamassa'!$F$19</f>
        <v>0</v>
      </c>
      <c r="Y168" s="524">
        <f>H168*'5 Kalan alkukäsittely satamassa'!$F$19</f>
        <v>0</v>
      </c>
      <c r="Z168" s="524">
        <f>I168*'5 Kalan alkukäsittely satamassa'!$F$19</f>
        <v>0</v>
      </c>
      <c r="AA168" s="524">
        <f>J168*'5 Kalan alkukäsittely satamassa'!$F$19</f>
        <v>0</v>
      </c>
      <c r="AB168" s="524">
        <f>K168*'5 Kalan alkukäsittely satamassa'!$F$19</f>
        <v>0</v>
      </c>
      <c r="AC168" s="524">
        <f>L168*'5 Kalan alkukäsittely satamassa'!$F$19</f>
        <v>0</v>
      </c>
      <c r="AD168" s="524">
        <f>M168*'5 Kalan alkukäsittely satamassa'!$F$19</f>
        <v>0</v>
      </c>
      <c r="AE168" s="524">
        <f>N168*'5 Kalan alkukäsittely satamassa'!$F$19</f>
        <v>0</v>
      </c>
      <c r="AF168" s="524">
        <f>O168*'5 Kalan alkukäsittely satamassa'!$F$19</f>
        <v>0</v>
      </c>
      <c r="AG168" s="525">
        <f>P168*'5 Kalan alkukäsittely satamassa'!$F$19</f>
        <v>0</v>
      </c>
      <c r="AI168" s="57"/>
      <c r="AJ168" s="59" t="s">
        <v>78</v>
      </c>
      <c r="AK168" s="576">
        <f t="shared" si="216"/>
        <v>0</v>
      </c>
      <c r="AL168" s="1501">
        <v>10</v>
      </c>
      <c r="AM168" s="1502">
        <v>10</v>
      </c>
      <c r="AN168" s="1502">
        <v>10</v>
      </c>
      <c r="AO168" s="1502">
        <v>10</v>
      </c>
      <c r="AP168" s="1502">
        <v>10</v>
      </c>
      <c r="AQ168" s="1502">
        <v>10</v>
      </c>
      <c r="AR168" s="1502">
        <v>10</v>
      </c>
      <c r="AS168" s="1502">
        <v>10</v>
      </c>
      <c r="AT168" s="1502">
        <v>10</v>
      </c>
      <c r="AU168" s="1502">
        <v>10</v>
      </c>
      <c r="AV168" s="1502">
        <v>10</v>
      </c>
      <c r="AW168" s="1503">
        <v>10</v>
      </c>
      <c r="AY168" s="57"/>
      <c r="AZ168" s="59" t="s">
        <v>78</v>
      </c>
      <c r="BA168" s="501">
        <f t="shared" si="217"/>
        <v>0</v>
      </c>
      <c r="BB168" s="530">
        <f t="shared" si="220"/>
        <v>0</v>
      </c>
      <c r="BC168" s="524">
        <f t="shared" si="218"/>
        <v>0</v>
      </c>
      <c r="BD168" s="524">
        <f t="shared" si="218"/>
        <v>0</v>
      </c>
      <c r="BE168" s="524">
        <f t="shared" si="218"/>
        <v>0</v>
      </c>
      <c r="BF168" s="524">
        <f t="shared" si="218"/>
        <v>0</v>
      </c>
      <c r="BG168" s="524">
        <f t="shared" si="218"/>
        <v>0</v>
      </c>
      <c r="BH168" s="524">
        <f t="shared" si="218"/>
        <v>0</v>
      </c>
      <c r="BI168" s="524">
        <f t="shared" si="218"/>
        <v>0</v>
      </c>
      <c r="BJ168" s="524">
        <f t="shared" si="218"/>
        <v>0</v>
      </c>
      <c r="BK168" s="524">
        <f t="shared" si="218"/>
        <v>0</v>
      </c>
      <c r="BL168" s="524">
        <f t="shared" si="218"/>
        <v>0</v>
      </c>
      <c r="BM168" s="525">
        <f t="shared" si="218"/>
        <v>0</v>
      </c>
    </row>
    <row r="169" spans="2:102" ht="13.5" thickBot="1" x14ac:dyDescent="0.25">
      <c r="B169" s="40"/>
      <c r="C169" s="56" t="s">
        <v>63</v>
      </c>
      <c r="D169" s="498">
        <f t="shared" si="214"/>
        <v>0</v>
      </c>
      <c r="E169" s="1483"/>
      <c r="F169" s="1477"/>
      <c r="G169" s="1477"/>
      <c r="H169" s="1477"/>
      <c r="I169" s="1477"/>
      <c r="J169" s="1477"/>
      <c r="K169" s="1477"/>
      <c r="L169" s="1477"/>
      <c r="M169" s="1477"/>
      <c r="N169" s="1477"/>
      <c r="O169" s="1477"/>
      <c r="P169" s="1478"/>
      <c r="S169" s="258"/>
      <c r="T169" s="259" t="s">
        <v>63</v>
      </c>
      <c r="U169" s="540">
        <f>SUM(V169:AG169)</f>
        <v>0</v>
      </c>
      <c r="V169" s="515">
        <f t="shared" ref="V169:AG170" si="228">E169</f>
        <v>0</v>
      </c>
      <c r="W169" s="531">
        <f t="shared" si="228"/>
        <v>0</v>
      </c>
      <c r="X169" s="531">
        <f t="shared" si="228"/>
        <v>0</v>
      </c>
      <c r="Y169" s="531">
        <f t="shared" si="228"/>
        <v>0</v>
      </c>
      <c r="Z169" s="531">
        <f t="shared" si="228"/>
        <v>0</v>
      </c>
      <c r="AA169" s="531">
        <f t="shared" si="228"/>
        <v>0</v>
      </c>
      <c r="AB169" s="531">
        <f t="shared" si="228"/>
        <v>0</v>
      </c>
      <c r="AC169" s="531">
        <f t="shared" si="228"/>
        <v>0</v>
      </c>
      <c r="AD169" s="531">
        <f t="shared" si="228"/>
        <v>0</v>
      </c>
      <c r="AE169" s="531">
        <f t="shared" si="228"/>
        <v>0</v>
      </c>
      <c r="AF169" s="531">
        <f t="shared" si="228"/>
        <v>0</v>
      </c>
      <c r="AG169" s="532">
        <f t="shared" si="228"/>
        <v>0</v>
      </c>
      <c r="AI169" s="40"/>
      <c r="AJ169" s="56" t="s">
        <v>63</v>
      </c>
      <c r="AK169" s="588">
        <f t="shared" si="216"/>
        <v>0</v>
      </c>
      <c r="AL169" s="1504">
        <v>0.09</v>
      </c>
      <c r="AM169" s="1505">
        <v>0.09</v>
      </c>
      <c r="AN169" s="1505">
        <v>0.09</v>
      </c>
      <c r="AO169" s="1505">
        <v>0.09</v>
      </c>
      <c r="AP169" s="1505">
        <v>0.09</v>
      </c>
      <c r="AQ169" s="1505">
        <v>0.09</v>
      </c>
      <c r="AR169" s="1505">
        <v>0.09</v>
      </c>
      <c r="AS169" s="1505">
        <v>0.09</v>
      </c>
      <c r="AT169" s="1505">
        <v>0.09</v>
      </c>
      <c r="AU169" s="1505">
        <v>0.09</v>
      </c>
      <c r="AV169" s="1505">
        <v>0.09</v>
      </c>
      <c r="AW169" s="1506">
        <v>0.09</v>
      </c>
      <c r="AY169" s="40"/>
      <c r="AZ169" s="59" t="s">
        <v>63</v>
      </c>
      <c r="BA169" s="502">
        <f t="shared" si="217"/>
        <v>0</v>
      </c>
      <c r="BB169" s="515">
        <f t="shared" si="220"/>
        <v>0</v>
      </c>
      <c r="BC169" s="531">
        <f t="shared" si="218"/>
        <v>0</v>
      </c>
      <c r="BD169" s="531">
        <f t="shared" si="218"/>
        <v>0</v>
      </c>
      <c r="BE169" s="531">
        <f t="shared" si="218"/>
        <v>0</v>
      </c>
      <c r="BF169" s="531">
        <f t="shared" si="218"/>
        <v>0</v>
      </c>
      <c r="BG169" s="531">
        <f t="shared" si="218"/>
        <v>0</v>
      </c>
      <c r="BH169" s="531">
        <f t="shared" si="218"/>
        <v>0</v>
      </c>
      <c r="BI169" s="531">
        <f t="shared" si="218"/>
        <v>0</v>
      </c>
      <c r="BJ169" s="531">
        <f t="shared" si="218"/>
        <v>0</v>
      </c>
      <c r="BK169" s="531">
        <f t="shared" si="218"/>
        <v>0</v>
      </c>
      <c r="BL169" s="531">
        <f t="shared" si="218"/>
        <v>0</v>
      </c>
      <c r="BM169" s="532">
        <f t="shared" si="218"/>
        <v>0</v>
      </c>
    </row>
    <row r="170" spans="2:102" ht="13.5" thickBot="1" x14ac:dyDescent="0.25">
      <c r="B170" s="40" t="s">
        <v>80</v>
      </c>
      <c r="C170" s="1485"/>
      <c r="D170" s="452">
        <f t="shared" si="214"/>
        <v>0</v>
      </c>
      <c r="E170" s="1490"/>
      <c r="F170" s="1491"/>
      <c r="G170" s="1491"/>
      <c r="H170" s="1491"/>
      <c r="I170" s="1491"/>
      <c r="J170" s="1491"/>
      <c r="K170" s="1491"/>
      <c r="L170" s="1491"/>
      <c r="M170" s="1491"/>
      <c r="N170" s="1491"/>
      <c r="O170" s="1491"/>
      <c r="P170" s="1492"/>
      <c r="S170" s="258" t="s">
        <v>80</v>
      </c>
      <c r="T170" s="1133">
        <f>C170</f>
        <v>0</v>
      </c>
      <c r="U170" s="416">
        <f>SUM(V170:AG170)</f>
        <v>0</v>
      </c>
      <c r="V170" s="548">
        <f t="shared" si="228"/>
        <v>0</v>
      </c>
      <c r="W170" s="553">
        <f t="shared" si="228"/>
        <v>0</v>
      </c>
      <c r="X170" s="553">
        <f t="shared" si="228"/>
        <v>0</v>
      </c>
      <c r="Y170" s="553">
        <f t="shared" si="228"/>
        <v>0</v>
      </c>
      <c r="Z170" s="553">
        <f t="shared" si="228"/>
        <v>0</v>
      </c>
      <c r="AA170" s="553">
        <f t="shared" si="228"/>
        <v>0</v>
      </c>
      <c r="AB170" s="553">
        <f t="shared" si="228"/>
        <v>0</v>
      </c>
      <c r="AC170" s="553">
        <f t="shared" si="228"/>
        <v>0</v>
      </c>
      <c r="AD170" s="553">
        <f t="shared" si="228"/>
        <v>0</v>
      </c>
      <c r="AE170" s="553">
        <f t="shared" si="228"/>
        <v>0</v>
      </c>
      <c r="AF170" s="553">
        <f t="shared" si="228"/>
        <v>0</v>
      </c>
      <c r="AG170" s="554">
        <f t="shared" si="228"/>
        <v>0</v>
      </c>
      <c r="AI170" s="40" t="s">
        <v>80</v>
      </c>
      <c r="AJ170" s="1133">
        <f>T170</f>
        <v>0</v>
      </c>
      <c r="AK170" s="576">
        <f t="shared" si="216"/>
        <v>0</v>
      </c>
      <c r="AL170" s="1520"/>
      <c r="AM170" s="1521"/>
      <c r="AN170" s="1521"/>
      <c r="AO170" s="1521"/>
      <c r="AP170" s="1521"/>
      <c r="AQ170" s="1521"/>
      <c r="AR170" s="1521"/>
      <c r="AS170" s="1521"/>
      <c r="AT170" s="1521"/>
      <c r="AU170" s="1521"/>
      <c r="AV170" s="1521"/>
      <c r="AW170" s="1522"/>
      <c r="AY170" s="40" t="s">
        <v>80</v>
      </c>
      <c r="AZ170" s="1136">
        <f>AJ170</f>
        <v>0</v>
      </c>
      <c r="BA170" s="540">
        <f t="shared" si="217"/>
        <v>0</v>
      </c>
      <c r="BB170" s="548">
        <f t="shared" si="220"/>
        <v>0</v>
      </c>
      <c r="BC170" s="553">
        <f t="shared" si="218"/>
        <v>0</v>
      </c>
      <c r="BD170" s="553">
        <f t="shared" si="218"/>
        <v>0</v>
      </c>
      <c r="BE170" s="553">
        <f t="shared" si="218"/>
        <v>0</v>
      </c>
      <c r="BF170" s="553">
        <f t="shared" si="218"/>
        <v>0</v>
      </c>
      <c r="BG170" s="553">
        <f t="shared" si="218"/>
        <v>0</v>
      </c>
      <c r="BH170" s="553">
        <f t="shared" si="218"/>
        <v>0</v>
      </c>
      <c r="BI170" s="553">
        <f t="shared" si="218"/>
        <v>0</v>
      </c>
      <c r="BJ170" s="553">
        <f t="shared" si="218"/>
        <v>0</v>
      </c>
      <c r="BK170" s="553">
        <f t="shared" si="218"/>
        <v>0</v>
      </c>
      <c r="BL170" s="553">
        <f t="shared" si="218"/>
        <v>0</v>
      </c>
      <c r="BM170" s="554">
        <f t="shared" si="218"/>
        <v>0</v>
      </c>
      <c r="CK170" s="5" t="s">
        <v>380</v>
      </c>
      <c r="CL170" s="1627" t="str">
        <f>CL162</f>
        <v>Verkko1</v>
      </c>
      <c r="CM170" s="1627" t="str">
        <f>CL163</f>
        <v>Verkko2</v>
      </c>
      <c r="CN170" s="1627" t="str">
        <f>CL164</f>
        <v>Isorysä1</v>
      </c>
      <c r="CO170" s="1632" t="str">
        <f>CL165</f>
        <v>Isorysä2</v>
      </c>
      <c r="CP170" s="1627" t="str">
        <f>CL166</f>
        <v>PU-rysä1</v>
      </c>
      <c r="CQ170" s="1627" t="str">
        <f>CL167</f>
        <v>PU-rysä2</v>
      </c>
    </row>
    <row r="171" spans="2:102" ht="13.5" thickBot="1" x14ac:dyDescent="0.25">
      <c r="B171" s="8" t="s">
        <v>72</v>
      </c>
      <c r="C171" s="10"/>
      <c r="D171" s="416">
        <f t="shared" ref="D171:O171" si="229">D161-SUM(D162:D170)</f>
        <v>0</v>
      </c>
      <c r="E171" s="507">
        <f>E161-SUM(E162:E170)</f>
        <v>0</v>
      </c>
      <c r="F171" s="508">
        <f t="shared" si="229"/>
        <v>0</v>
      </c>
      <c r="G171" s="508">
        <f t="shared" si="229"/>
        <v>0</v>
      </c>
      <c r="H171" s="508">
        <f t="shared" si="229"/>
        <v>0</v>
      </c>
      <c r="I171" s="508">
        <f t="shared" si="229"/>
        <v>0</v>
      </c>
      <c r="J171" s="508">
        <f>J161-SUM(J162:J170)</f>
        <v>0</v>
      </c>
      <c r="K171" s="508">
        <f t="shared" si="229"/>
        <v>0</v>
      </c>
      <c r="L171" s="508">
        <f t="shared" si="229"/>
        <v>0</v>
      </c>
      <c r="M171" s="508">
        <f t="shared" si="229"/>
        <v>0</v>
      </c>
      <c r="N171" s="508">
        <f t="shared" si="229"/>
        <v>0</v>
      </c>
      <c r="O171" s="508">
        <f t="shared" si="229"/>
        <v>0</v>
      </c>
      <c r="P171" s="497">
        <f>P161-SUM(P162:P170)</f>
        <v>0</v>
      </c>
      <c r="S171" s="258" t="s">
        <v>113</v>
      </c>
      <c r="T171" s="265"/>
      <c r="U171" s="416">
        <f t="shared" ref="U171:AG171" si="230">SUM(U162:U170)</f>
        <v>0</v>
      </c>
      <c r="V171" s="548">
        <f t="shared" si="230"/>
        <v>0</v>
      </c>
      <c r="W171" s="553">
        <f t="shared" si="230"/>
        <v>0</v>
      </c>
      <c r="X171" s="553">
        <f t="shared" si="230"/>
        <v>0</v>
      </c>
      <c r="Y171" s="553">
        <f t="shared" si="230"/>
        <v>0</v>
      </c>
      <c r="Z171" s="553">
        <f t="shared" si="230"/>
        <v>0</v>
      </c>
      <c r="AA171" s="553">
        <f t="shared" si="230"/>
        <v>0</v>
      </c>
      <c r="AB171" s="553">
        <f t="shared" si="230"/>
        <v>0</v>
      </c>
      <c r="AC171" s="553">
        <f t="shared" si="230"/>
        <v>0</v>
      </c>
      <c r="AD171" s="553">
        <f t="shared" si="230"/>
        <v>0</v>
      </c>
      <c r="AE171" s="553">
        <f t="shared" si="230"/>
        <v>0</v>
      </c>
      <c r="AF171" s="553">
        <f t="shared" si="230"/>
        <v>0</v>
      </c>
      <c r="AG171" s="539">
        <f t="shared" si="230"/>
        <v>0</v>
      </c>
      <c r="AI171" s="40" t="s">
        <v>99</v>
      </c>
      <c r="AJ171" s="10"/>
      <c r="AK171" s="586">
        <f t="shared" ref="AK171:AW171" si="231">IF(BA161=0,0,BA171/BA161)</f>
        <v>0</v>
      </c>
      <c r="AL171" s="580">
        <f t="shared" si="231"/>
        <v>0</v>
      </c>
      <c r="AM171" s="581">
        <f t="shared" si="231"/>
        <v>0</v>
      </c>
      <c r="AN171" s="581">
        <f t="shared" si="231"/>
        <v>0</v>
      </c>
      <c r="AO171" s="581">
        <f t="shared" si="231"/>
        <v>0</v>
      </c>
      <c r="AP171" s="581">
        <f t="shared" si="231"/>
        <v>0</v>
      </c>
      <c r="AQ171" s="581">
        <f t="shared" si="231"/>
        <v>0</v>
      </c>
      <c r="AR171" s="581">
        <f t="shared" si="231"/>
        <v>0</v>
      </c>
      <c r="AS171" s="581">
        <f t="shared" si="231"/>
        <v>0</v>
      </c>
      <c r="AT171" s="581">
        <f t="shared" si="231"/>
        <v>0</v>
      </c>
      <c r="AU171" s="581">
        <f t="shared" si="231"/>
        <v>0</v>
      </c>
      <c r="AV171" s="581">
        <f t="shared" si="231"/>
        <v>0</v>
      </c>
      <c r="AW171" s="582">
        <f t="shared" si="231"/>
        <v>0</v>
      </c>
      <c r="AY171" s="40" t="s">
        <v>98</v>
      </c>
      <c r="AZ171" s="10"/>
      <c r="BA171" s="416">
        <f>SUM(BA162:BA170)</f>
        <v>0</v>
      </c>
      <c r="BB171" s="549">
        <f t="shared" ref="BB171:BM171" si="232">SUM(BB162:BB170)</f>
        <v>0</v>
      </c>
      <c r="BC171" s="553">
        <f t="shared" si="232"/>
        <v>0</v>
      </c>
      <c r="BD171" s="553">
        <f>SUM(BD162:BD170)</f>
        <v>0</v>
      </c>
      <c r="BE171" s="553">
        <f t="shared" si="232"/>
        <v>0</v>
      </c>
      <c r="BF171" s="553">
        <f t="shared" si="232"/>
        <v>0</v>
      </c>
      <c r="BG171" s="553">
        <f t="shared" si="232"/>
        <v>0</v>
      </c>
      <c r="BH171" s="553">
        <f t="shared" si="232"/>
        <v>0</v>
      </c>
      <c r="BI171" s="553">
        <f t="shared" si="232"/>
        <v>0</v>
      </c>
      <c r="BJ171" s="553">
        <f t="shared" si="232"/>
        <v>0</v>
      </c>
      <c r="BK171" s="553">
        <f t="shared" si="232"/>
        <v>0</v>
      </c>
      <c r="BL171" s="553">
        <f t="shared" si="232"/>
        <v>0</v>
      </c>
      <c r="BM171" s="554">
        <f t="shared" si="232"/>
        <v>0</v>
      </c>
      <c r="CK171" s="40"/>
      <c r="CL171" s="1628"/>
      <c r="CM171" s="1628"/>
      <c r="CN171" s="1628"/>
      <c r="CO171" s="1633"/>
      <c r="CP171" s="1628"/>
      <c r="CQ171" s="1628"/>
    </row>
    <row r="172" spans="2:102" ht="13.5" thickBot="1" x14ac:dyDescent="0.25">
      <c r="E172" s="794" t="str">
        <f t="shared" ref="E172:P172" si="233">IF(E171&lt;0,"Ylimyynti!!!"," ")</f>
        <v xml:space="preserve"> </v>
      </c>
      <c r="F172" s="794" t="str">
        <f t="shared" si="233"/>
        <v xml:space="preserve"> </v>
      </c>
      <c r="G172" s="794" t="str">
        <f t="shared" si="233"/>
        <v xml:space="preserve"> </v>
      </c>
      <c r="H172" s="794" t="str">
        <f t="shared" si="233"/>
        <v xml:space="preserve"> </v>
      </c>
      <c r="I172" s="794" t="str">
        <f t="shared" si="233"/>
        <v xml:space="preserve"> </v>
      </c>
      <c r="J172" s="794" t="str">
        <f t="shared" si="233"/>
        <v xml:space="preserve"> </v>
      </c>
      <c r="K172" s="794" t="str">
        <f t="shared" si="233"/>
        <v xml:space="preserve"> </v>
      </c>
      <c r="L172" s="794" t="str">
        <f t="shared" si="233"/>
        <v xml:space="preserve"> </v>
      </c>
      <c r="M172" s="794" t="str">
        <f t="shared" si="233"/>
        <v xml:space="preserve"> </v>
      </c>
      <c r="N172" s="794" t="str">
        <f t="shared" si="233"/>
        <v xml:space="preserve"> </v>
      </c>
      <c r="O172" s="794" t="str">
        <f t="shared" si="233"/>
        <v xml:space="preserve"> </v>
      </c>
      <c r="P172" s="794" t="str">
        <f t="shared" si="233"/>
        <v xml:space="preserve"> </v>
      </c>
      <c r="CK172" s="57" t="s">
        <v>100</v>
      </c>
      <c r="CL172" s="426">
        <f t="shared" ref="CL172:CL183" si="234">CL30</f>
        <v>0</v>
      </c>
      <c r="CM172" s="426">
        <f>CL53</f>
        <v>0</v>
      </c>
      <c r="CN172" s="426">
        <f t="shared" ref="CN172:CN183" si="235">CL76</f>
        <v>0</v>
      </c>
      <c r="CO172" s="426">
        <f>CL99</f>
        <v>0</v>
      </c>
      <c r="CP172" s="426">
        <f t="shared" ref="CP172:CP183" si="236">CL122</f>
        <v>0</v>
      </c>
      <c r="CQ172" s="426">
        <f>CL145</f>
        <v>0</v>
      </c>
    </row>
    <row r="173" spans="2:102" ht="13.5" thickBot="1" x14ac:dyDescent="0.25">
      <c r="B173" s="5" t="s">
        <v>525</v>
      </c>
      <c r="C173" s="36"/>
      <c r="D173" s="249" t="s">
        <v>40</v>
      </c>
      <c r="E173" s="245"/>
      <c r="F173" s="246"/>
      <c r="G173" s="246"/>
      <c r="H173" s="246"/>
      <c r="I173" s="246"/>
      <c r="J173" s="219" t="s">
        <v>42</v>
      </c>
      <c r="K173" s="246"/>
      <c r="L173" s="246"/>
      <c r="M173" s="246"/>
      <c r="N173" s="246"/>
      <c r="O173" s="246"/>
      <c r="P173" s="247"/>
      <c r="Q173" s="250"/>
      <c r="S173" s="251" t="s">
        <v>525</v>
      </c>
      <c r="T173" s="252"/>
      <c r="U173" s="249" t="s">
        <v>40</v>
      </c>
      <c r="V173" s="245"/>
      <c r="W173" s="246"/>
      <c r="X173" s="246"/>
      <c r="Y173" s="246"/>
      <c r="Z173" s="246"/>
      <c r="AA173" s="219" t="s">
        <v>42</v>
      </c>
      <c r="AB173" s="246"/>
      <c r="AC173" s="246"/>
      <c r="AD173" s="246"/>
      <c r="AE173" s="246"/>
      <c r="AF173" s="246"/>
      <c r="AG173" s="247"/>
      <c r="AI173" s="5" t="s">
        <v>525</v>
      </c>
      <c r="AJ173" s="36"/>
      <c r="AK173" s="51" t="s">
        <v>40</v>
      </c>
      <c r="AL173" s="47"/>
      <c r="AM173" s="48"/>
      <c r="AN173" s="48"/>
      <c r="AO173" s="48"/>
      <c r="AP173" s="48"/>
      <c r="AQ173" s="41" t="s">
        <v>42</v>
      </c>
      <c r="AR173" s="48"/>
      <c r="AS173" s="48"/>
      <c r="AT173" s="48"/>
      <c r="AU173" s="48"/>
      <c r="AV173" s="48"/>
      <c r="AW173" s="49"/>
      <c r="AY173" s="5" t="s">
        <v>525</v>
      </c>
      <c r="AZ173" s="36"/>
      <c r="BA173" s="249" t="s">
        <v>40</v>
      </c>
      <c r="BB173" s="245"/>
      <c r="BC173" s="246"/>
      <c r="BD173" s="246"/>
      <c r="BE173" s="246"/>
      <c r="BF173" s="246"/>
      <c r="BG173" s="219" t="s">
        <v>42</v>
      </c>
      <c r="BH173" s="246"/>
      <c r="BI173" s="246"/>
      <c r="BJ173" s="246"/>
      <c r="BK173" s="246"/>
      <c r="BL173" s="246"/>
      <c r="BM173" s="247"/>
      <c r="CK173" s="57" t="s">
        <v>108</v>
      </c>
      <c r="CL173" s="426">
        <f t="shared" si="234"/>
        <v>0</v>
      </c>
      <c r="CM173" s="426">
        <f t="shared" ref="CM173:CM183" si="237">CL54</f>
        <v>0</v>
      </c>
      <c r="CN173" s="426">
        <f t="shared" si="235"/>
        <v>0</v>
      </c>
      <c r="CO173" s="426">
        <f t="shared" ref="CO173:CO183" si="238">CL100</f>
        <v>0</v>
      </c>
      <c r="CP173" s="426">
        <f t="shared" si="236"/>
        <v>0</v>
      </c>
      <c r="CQ173" s="426">
        <f t="shared" ref="CQ173:CQ183" si="239">CL146</f>
        <v>0</v>
      </c>
    </row>
    <row r="174" spans="2:102" ht="13.5" thickBot="1" x14ac:dyDescent="0.25">
      <c r="B174" s="57"/>
      <c r="C174" s="59"/>
      <c r="D174" s="253" t="s">
        <v>41</v>
      </c>
      <c r="E174" s="254">
        <v>1</v>
      </c>
      <c r="F174" s="70">
        <v>2</v>
      </c>
      <c r="G174" s="70">
        <v>3</v>
      </c>
      <c r="H174" s="70">
        <v>4</v>
      </c>
      <c r="I174" s="70">
        <v>5</v>
      </c>
      <c r="J174" s="70">
        <v>6</v>
      </c>
      <c r="K174" s="70">
        <v>7</v>
      </c>
      <c r="L174" s="70">
        <v>8</v>
      </c>
      <c r="M174" s="70">
        <v>9</v>
      </c>
      <c r="N174" s="70">
        <v>10</v>
      </c>
      <c r="O174" s="70">
        <v>11</v>
      </c>
      <c r="P174" s="71">
        <v>12</v>
      </c>
      <c r="Q174" s="87"/>
      <c r="S174" s="255"/>
      <c r="T174" s="256"/>
      <c r="U174" s="253" t="s">
        <v>41</v>
      </c>
      <c r="V174" s="254">
        <v>1</v>
      </c>
      <c r="W174" s="70">
        <v>2</v>
      </c>
      <c r="X174" s="70">
        <v>3</v>
      </c>
      <c r="Y174" s="70">
        <v>4</v>
      </c>
      <c r="Z174" s="70">
        <v>5</v>
      </c>
      <c r="AA174" s="70">
        <v>6</v>
      </c>
      <c r="AB174" s="70">
        <v>7</v>
      </c>
      <c r="AC174" s="70">
        <v>8</v>
      </c>
      <c r="AD174" s="70">
        <v>9</v>
      </c>
      <c r="AE174" s="70">
        <v>10</v>
      </c>
      <c r="AF174" s="70">
        <v>11</v>
      </c>
      <c r="AG174" s="71">
        <v>12</v>
      </c>
      <c r="AI174" s="57"/>
      <c r="AJ174" s="59"/>
      <c r="AK174" s="69" t="s">
        <v>41</v>
      </c>
      <c r="AL174" s="72">
        <v>1</v>
      </c>
      <c r="AM174" s="70">
        <v>2</v>
      </c>
      <c r="AN174" s="70">
        <v>3</v>
      </c>
      <c r="AO174" s="70">
        <v>4</v>
      </c>
      <c r="AP174" s="70">
        <v>5</v>
      </c>
      <c r="AQ174" s="70">
        <v>6</v>
      </c>
      <c r="AR174" s="70">
        <v>7</v>
      </c>
      <c r="AS174" s="70">
        <v>8</v>
      </c>
      <c r="AT174" s="70">
        <v>9</v>
      </c>
      <c r="AU174" s="70">
        <v>10</v>
      </c>
      <c r="AV174" s="70">
        <v>11</v>
      </c>
      <c r="AW174" s="71">
        <v>12</v>
      </c>
      <c r="AY174" s="57"/>
      <c r="AZ174" s="59"/>
      <c r="BA174" s="253" t="s">
        <v>41</v>
      </c>
      <c r="BB174" s="254">
        <v>1</v>
      </c>
      <c r="BC174" s="70">
        <v>2</v>
      </c>
      <c r="BD174" s="70">
        <v>3</v>
      </c>
      <c r="BE174" s="70">
        <v>4</v>
      </c>
      <c r="BF174" s="70">
        <v>5</v>
      </c>
      <c r="BG174" s="70">
        <v>6</v>
      </c>
      <c r="BH174" s="70">
        <v>7</v>
      </c>
      <c r="BI174" s="70">
        <v>8</v>
      </c>
      <c r="BJ174" s="70">
        <v>9</v>
      </c>
      <c r="BK174" s="70">
        <v>10</v>
      </c>
      <c r="BL174" s="70">
        <v>11</v>
      </c>
      <c r="BM174" s="71">
        <v>12</v>
      </c>
      <c r="CK174" s="57" t="s">
        <v>101</v>
      </c>
      <c r="CL174" s="426">
        <f t="shared" si="234"/>
        <v>0</v>
      </c>
      <c r="CM174" s="426">
        <f t="shared" si="237"/>
        <v>0</v>
      </c>
      <c r="CN174" s="426">
        <f t="shared" si="235"/>
        <v>0</v>
      </c>
      <c r="CO174" s="426">
        <f t="shared" si="238"/>
        <v>0</v>
      </c>
      <c r="CP174" s="426">
        <f t="shared" si="236"/>
        <v>0</v>
      </c>
      <c r="CQ174" s="426">
        <f t="shared" si="239"/>
        <v>0</v>
      </c>
    </row>
    <row r="175" spans="2:102" ht="13.5" thickBot="1" x14ac:dyDescent="0.25">
      <c r="B175" s="8" t="s">
        <v>73</v>
      </c>
      <c r="C175" s="58"/>
      <c r="D175" s="423">
        <f>'3 Saalis'!D19</f>
        <v>0</v>
      </c>
      <c r="E175" s="461">
        <f>'3 Saalis'!E19</f>
        <v>0</v>
      </c>
      <c r="F175" s="453">
        <f>'3 Saalis'!F19</f>
        <v>0</v>
      </c>
      <c r="G175" s="453">
        <f>'3 Saalis'!G19</f>
        <v>0</v>
      </c>
      <c r="H175" s="453">
        <f>'3 Saalis'!H19</f>
        <v>0</v>
      </c>
      <c r="I175" s="453">
        <f>'3 Saalis'!I19</f>
        <v>0</v>
      </c>
      <c r="J175" s="453">
        <f>'3 Saalis'!J19</f>
        <v>0</v>
      </c>
      <c r="K175" s="453">
        <f>'3 Saalis'!K19</f>
        <v>0</v>
      </c>
      <c r="L175" s="453">
        <f>'3 Saalis'!L19</f>
        <v>0</v>
      </c>
      <c r="M175" s="453">
        <f>'3 Saalis'!M19</f>
        <v>0</v>
      </c>
      <c r="N175" s="453">
        <f>'3 Saalis'!N19</f>
        <v>0</v>
      </c>
      <c r="O175" s="453">
        <f>'3 Saalis'!O19</f>
        <v>0</v>
      </c>
      <c r="P175" s="497">
        <f>'3 Saalis'!P19</f>
        <v>0</v>
      </c>
      <c r="Q175" s="257"/>
      <c r="S175" s="260" t="s">
        <v>73</v>
      </c>
      <c r="T175" s="261"/>
      <c r="U175" s="423">
        <f t="shared" ref="U175:AG175" si="240">D175</f>
        <v>0</v>
      </c>
      <c r="V175" s="461">
        <f t="shared" si="240"/>
        <v>0</v>
      </c>
      <c r="W175" s="453">
        <f t="shared" si="240"/>
        <v>0</v>
      </c>
      <c r="X175" s="453">
        <f t="shared" si="240"/>
        <v>0</v>
      </c>
      <c r="Y175" s="453">
        <f t="shared" si="240"/>
        <v>0</v>
      </c>
      <c r="Z175" s="453">
        <f t="shared" si="240"/>
        <v>0</v>
      </c>
      <c r="AA175" s="453">
        <f t="shared" si="240"/>
        <v>0</v>
      </c>
      <c r="AB175" s="453">
        <f t="shared" si="240"/>
        <v>0</v>
      </c>
      <c r="AC175" s="453">
        <f t="shared" si="240"/>
        <v>0</v>
      </c>
      <c r="AD175" s="453">
        <f t="shared" si="240"/>
        <v>0</v>
      </c>
      <c r="AE175" s="453">
        <f t="shared" si="240"/>
        <v>0</v>
      </c>
      <c r="AF175" s="453">
        <f t="shared" si="240"/>
        <v>0</v>
      </c>
      <c r="AG175" s="454">
        <f t="shared" si="240"/>
        <v>0</v>
      </c>
      <c r="AI175" s="8" t="s">
        <v>73</v>
      </c>
      <c r="AJ175" s="58"/>
      <c r="AK175" s="424">
        <f t="shared" ref="AK175:AW175" si="241">D175</f>
        <v>0</v>
      </c>
      <c r="AL175" s="589">
        <f t="shared" si="241"/>
        <v>0</v>
      </c>
      <c r="AM175" s="589">
        <f t="shared" si="241"/>
        <v>0</v>
      </c>
      <c r="AN175" s="589">
        <f t="shared" si="241"/>
        <v>0</v>
      </c>
      <c r="AO175" s="589">
        <f t="shared" si="241"/>
        <v>0</v>
      </c>
      <c r="AP175" s="589">
        <f t="shared" si="241"/>
        <v>0</v>
      </c>
      <c r="AQ175" s="589">
        <f t="shared" si="241"/>
        <v>0</v>
      </c>
      <c r="AR175" s="589">
        <f t="shared" si="241"/>
        <v>0</v>
      </c>
      <c r="AS175" s="589">
        <f t="shared" si="241"/>
        <v>0</v>
      </c>
      <c r="AT175" s="589">
        <f t="shared" si="241"/>
        <v>0</v>
      </c>
      <c r="AU175" s="589">
        <f t="shared" si="241"/>
        <v>0</v>
      </c>
      <c r="AV175" s="589">
        <f t="shared" si="241"/>
        <v>0</v>
      </c>
      <c r="AW175" s="1135">
        <f t="shared" si="241"/>
        <v>0</v>
      </c>
      <c r="AY175" s="8" t="s">
        <v>73</v>
      </c>
      <c r="AZ175" s="58"/>
      <c r="BA175" s="423">
        <f t="shared" ref="BA175:BM175" si="242">AK175</f>
        <v>0</v>
      </c>
      <c r="BB175" s="488">
        <f t="shared" si="242"/>
        <v>0</v>
      </c>
      <c r="BC175" s="488">
        <f t="shared" si="242"/>
        <v>0</v>
      </c>
      <c r="BD175" s="488">
        <f t="shared" si="242"/>
        <v>0</v>
      </c>
      <c r="BE175" s="488">
        <f t="shared" si="242"/>
        <v>0</v>
      </c>
      <c r="BF175" s="488">
        <f t="shared" si="242"/>
        <v>0</v>
      </c>
      <c r="BG175" s="488">
        <f t="shared" si="242"/>
        <v>0</v>
      </c>
      <c r="BH175" s="488">
        <f t="shared" si="242"/>
        <v>0</v>
      </c>
      <c r="BI175" s="488">
        <f t="shared" si="242"/>
        <v>0</v>
      </c>
      <c r="BJ175" s="488">
        <f t="shared" si="242"/>
        <v>0</v>
      </c>
      <c r="BK175" s="488">
        <f t="shared" si="242"/>
        <v>0</v>
      </c>
      <c r="BL175" s="488">
        <f t="shared" si="242"/>
        <v>0</v>
      </c>
      <c r="BM175" s="454">
        <f t="shared" si="242"/>
        <v>0</v>
      </c>
      <c r="CK175" s="57" t="s">
        <v>102</v>
      </c>
      <c r="CL175" s="426">
        <f t="shared" si="234"/>
        <v>0</v>
      </c>
      <c r="CM175" s="426">
        <f t="shared" si="237"/>
        <v>0</v>
      </c>
      <c r="CN175" s="426">
        <f t="shared" si="235"/>
        <v>0</v>
      </c>
      <c r="CO175" s="426">
        <f t="shared" si="238"/>
        <v>0</v>
      </c>
      <c r="CP175" s="426">
        <f t="shared" si="236"/>
        <v>0</v>
      </c>
      <c r="CQ175" s="426">
        <f t="shared" si="239"/>
        <v>0</v>
      </c>
    </row>
    <row r="176" spans="2:102" x14ac:dyDescent="0.2">
      <c r="B176" s="57" t="s">
        <v>64</v>
      </c>
      <c r="C176" s="59" t="s">
        <v>70</v>
      </c>
      <c r="D176" s="501">
        <f>SUM(E176:P176)</f>
        <v>0</v>
      </c>
      <c r="E176" s="1487"/>
      <c r="F176" s="1488"/>
      <c r="G176" s="1488"/>
      <c r="H176" s="1488"/>
      <c r="I176" s="1488"/>
      <c r="J176" s="1488"/>
      <c r="K176" s="1488"/>
      <c r="L176" s="1488"/>
      <c r="M176" s="1488"/>
      <c r="N176" s="1488"/>
      <c r="O176" s="1488"/>
      <c r="P176" s="1489"/>
      <c r="S176" s="255" t="s">
        <v>64</v>
      </c>
      <c r="T176" s="256" t="s">
        <v>70</v>
      </c>
      <c r="U176" s="452">
        <f>SUM(V176:AG176)</f>
        <v>0</v>
      </c>
      <c r="V176" s="519">
        <f t="shared" ref="V176:AG180" si="243">E176</f>
        <v>0</v>
      </c>
      <c r="W176" s="499">
        <f t="shared" si="243"/>
        <v>0</v>
      </c>
      <c r="X176" s="499">
        <f t="shared" si="243"/>
        <v>0</v>
      </c>
      <c r="Y176" s="499">
        <f t="shared" si="243"/>
        <v>0</v>
      </c>
      <c r="Z176" s="499">
        <f t="shared" si="243"/>
        <v>0</v>
      </c>
      <c r="AA176" s="499">
        <f t="shared" si="243"/>
        <v>0</v>
      </c>
      <c r="AB176" s="499">
        <f t="shared" si="243"/>
        <v>0</v>
      </c>
      <c r="AC176" s="499">
        <f t="shared" si="243"/>
        <v>0</v>
      </c>
      <c r="AD176" s="499">
        <f t="shared" si="243"/>
        <v>0</v>
      </c>
      <c r="AE176" s="499">
        <f t="shared" si="243"/>
        <v>0</v>
      </c>
      <c r="AF176" s="499">
        <f t="shared" si="243"/>
        <v>0</v>
      </c>
      <c r="AG176" s="520">
        <f t="shared" si="243"/>
        <v>0</v>
      </c>
      <c r="AI176" s="57" t="s">
        <v>64</v>
      </c>
      <c r="AJ176" s="59" t="s">
        <v>70</v>
      </c>
      <c r="AK176" s="584">
        <f>IF(D176=0,0,BA176/D176)</f>
        <v>0</v>
      </c>
      <c r="AL176" s="1511">
        <v>0.4</v>
      </c>
      <c r="AM176" s="1511">
        <v>0.4</v>
      </c>
      <c r="AN176" s="1511">
        <v>0.4</v>
      </c>
      <c r="AO176" s="1511">
        <v>0.4</v>
      </c>
      <c r="AP176" s="1511">
        <v>0.4</v>
      </c>
      <c r="AQ176" s="1511">
        <v>0.4</v>
      </c>
      <c r="AR176" s="1511">
        <v>0.4</v>
      </c>
      <c r="AS176" s="1511">
        <v>0.4</v>
      </c>
      <c r="AT176" s="1511">
        <v>0.4</v>
      </c>
      <c r="AU176" s="1511">
        <v>0.4</v>
      </c>
      <c r="AV176" s="1511">
        <v>0.4</v>
      </c>
      <c r="AW176" s="1498">
        <v>0.4</v>
      </c>
      <c r="AY176" s="57" t="s">
        <v>64</v>
      </c>
      <c r="AZ176" s="59" t="s">
        <v>70</v>
      </c>
      <c r="BA176" s="452">
        <f>SUM(BB176:BM176)</f>
        <v>0</v>
      </c>
      <c r="BB176" s="519">
        <f>V176*AL176</f>
        <v>0</v>
      </c>
      <c r="BC176" s="500">
        <f t="shared" ref="BC176:BM180" si="244">W176*AM176</f>
        <v>0</v>
      </c>
      <c r="BD176" s="500">
        <f t="shared" si="244"/>
        <v>0</v>
      </c>
      <c r="BE176" s="500">
        <f t="shared" si="244"/>
        <v>0</v>
      </c>
      <c r="BF176" s="500">
        <f t="shared" si="244"/>
        <v>0</v>
      </c>
      <c r="BG176" s="500">
        <f t="shared" si="244"/>
        <v>0</v>
      </c>
      <c r="BH176" s="500">
        <f t="shared" si="244"/>
        <v>0</v>
      </c>
      <c r="BI176" s="500">
        <f t="shared" si="244"/>
        <v>0</v>
      </c>
      <c r="BJ176" s="500">
        <f t="shared" si="244"/>
        <v>0</v>
      </c>
      <c r="BK176" s="500">
        <f t="shared" si="244"/>
        <v>0</v>
      </c>
      <c r="BL176" s="500">
        <f t="shared" si="244"/>
        <v>0</v>
      </c>
      <c r="BM176" s="529">
        <f t="shared" si="244"/>
        <v>0</v>
      </c>
      <c r="CK176" s="57" t="s">
        <v>103</v>
      </c>
      <c r="CL176" s="426">
        <f t="shared" si="234"/>
        <v>0</v>
      </c>
      <c r="CM176" s="426">
        <f t="shared" si="237"/>
        <v>0</v>
      </c>
      <c r="CN176" s="426">
        <f t="shared" si="235"/>
        <v>0</v>
      </c>
      <c r="CO176" s="426">
        <f t="shared" si="238"/>
        <v>0</v>
      </c>
      <c r="CP176" s="426">
        <f t="shared" si="236"/>
        <v>0</v>
      </c>
      <c r="CQ176" s="426">
        <f t="shared" si="239"/>
        <v>0</v>
      </c>
    </row>
    <row r="177" spans="2:95" ht="13.5" thickBot="1" x14ac:dyDescent="0.25">
      <c r="B177" s="40"/>
      <c r="C177" s="56" t="s">
        <v>63</v>
      </c>
      <c r="D177" s="498">
        <f>SUM(E177:P177)</f>
        <v>0</v>
      </c>
      <c r="E177" s="1483"/>
      <c r="F177" s="1477"/>
      <c r="G177" s="1477"/>
      <c r="H177" s="1477"/>
      <c r="I177" s="1477"/>
      <c r="J177" s="1477"/>
      <c r="K177" s="1477"/>
      <c r="L177" s="1477"/>
      <c r="M177" s="1477"/>
      <c r="N177" s="1477"/>
      <c r="O177" s="1477"/>
      <c r="P177" s="1478"/>
      <c r="S177" s="258"/>
      <c r="T177" s="259" t="s">
        <v>63</v>
      </c>
      <c r="U177" s="498">
        <f>SUM(V177:AG177)</f>
        <v>0</v>
      </c>
      <c r="V177" s="548">
        <f t="shared" si="243"/>
        <v>0</v>
      </c>
      <c r="W177" s="549">
        <f t="shared" si="243"/>
        <v>0</v>
      </c>
      <c r="X177" s="549">
        <f t="shared" si="243"/>
        <v>0</v>
      </c>
      <c r="Y177" s="549">
        <f t="shared" si="243"/>
        <v>0</v>
      </c>
      <c r="Z177" s="549">
        <f t="shared" si="243"/>
        <v>0</v>
      </c>
      <c r="AA177" s="549">
        <f t="shared" si="243"/>
        <v>0</v>
      </c>
      <c r="AB177" s="549">
        <f t="shared" si="243"/>
        <v>0</v>
      </c>
      <c r="AC177" s="549">
        <f t="shared" si="243"/>
        <v>0</v>
      </c>
      <c r="AD177" s="549">
        <f t="shared" si="243"/>
        <v>0</v>
      </c>
      <c r="AE177" s="549">
        <f t="shared" si="243"/>
        <v>0</v>
      </c>
      <c r="AF177" s="549">
        <f t="shared" si="243"/>
        <v>0</v>
      </c>
      <c r="AG177" s="493">
        <f t="shared" si="243"/>
        <v>0</v>
      </c>
      <c r="AI177" s="40"/>
      <c r="AJ177" s="56" t="s">
        <v>63</v>
      </c>
      <c r="AK177" s="590">
        <f>IF(D177=0,0,BA177/D177)</f>
        <v>0</v>
      </c>
      <c r="AL177" s="1504">
        <v>0.09</v>
      </c>
      <c r="AM177" s="1505">
        <v>0.09</v>
      </c>
      <c r="AN177" s="1505">
        <v>0.09</v>
      </c>
      <c r="AO177" s="1505">
        <v>0.09</v>
      </c>
      <c r="AP177" s="1505">
        <v>0.09</v>
      </c>
      <c r="AQ177" s="1505">
        <v>0.09</v>
      </c>
      <c r="AR177" s="1505">
        <v>0.09</v>
      </c>
      <c r="AS177" s="1505">
        <v>0.09</v>
      </c>
      <c r="AT177" s="1505">
        <v>0.09</v>
      </c>
      <c r="AU177" s="1505">
        <v>0.09</v>
      </c>
      <c r="AV177" s="1505">
        <v>0.09</v>
      </c>
      <c r="AW177" s="1506">
        <v>0.09</v>
      </c>
      <c r="AY177" s="40"/>
      <c r="AZ177" s="59" t="s">
        <v>63</v>
      </c>
      <c r="BA177" s="555">
        <f>SUM(BB177:BM177)</f>
        <v>0</v>
      </c>
      <c r="BB177" s="541">
        <f>V177*AL177</f>
        <v>0</v>
      </c>
      <c r="BC177" s="542">
        <f t="shared" si="244"/>
        <v>0</v>
      </c>
      <c r="BD177" s="542">
        <f t="shared" si="244"/>
        <v>0</v>
      </c>
      <c r="BE177" s="542">
        <f t="shared" si="244"/>
        <v>0</v>
      </c>
      <c r="BF177" s="542">
        <f t="shared" si="244"/>
        <v>0</v>
      </c>
      <c r="BG177" s="542">
        <f t="shared" si="244"/>
        <v>0</v>
      </c>
      <c r="BH177" s="542">
        <f t="shared" si="244"/>
        <v>0</v>
      </c>
      <c r="BI177" s="542">
        <f t="shared" si="244"/>
        <v>0</v>
      </c>
      <c r="BJ177" s="542">
        <f t="shared" si="244"/>
        <v>0</v>
      </c>
      <c r="BK177" s="542">
        <f t="shared" si="244"/>
        <v>0</v>
      </c>
      <c r="BL177" s="542">
        <f t="shared" si="244"/>
        <v>0</v>
      </c>
      <c r="BM177" s="543">
        <f t="shared" si="244"/>
        <v>0</v>
      </c>
      <c r="CK177" s="57" t="s">
        <v>104</v>
      </c>
      <c r="CL177" s="426">
        <f t="shared" si="234"/>
        <v>0</v>
      </c>
      <c r="CM177" s="426">
        <f t="shared" si="237"/>
        <v>0</v>
      </c>
      <c r="CN177" s="426">
        <f t="shared" si="235"/>
        <v>0</v>
      </c>
      <c r="CO177" s="426">
        <f t="shared" si="238"/>
        <v>0</v>
      </c>
      <c r="CP177" s="426">
        <f t="shared" si="236"/>
        <v>0</v>
      </c>
      <c r="CQ177" s="426">
        <f t="shared" si="239"/>
        <v>0</v>
      </c>
    </row>
    <row r="178" spans="2:95" x14ac:dyDescent="0.2">
      <c r="B178" s="57" t="s">
        <v>79</v>
      </c>
      <c r="C178" s="59" t="s">
        <v>70</v>
      </c>
      <c r="D178" s="452">
        <f>SUM(E178:P178)</f>
        <v>0</v>
      </c>
      <c r="E178" s="1487"/>
      <c r="F178" s="1488"/>
      <c r="G178" s="1488"/>
      <c r="H178" s="1488"/>
      <c r="I178" s="1488"/>
      <c r="J178" s="1488"/>
      <c r="K178" s="1488"/>
      <c r="L178" s="1488"/>
      <c r="M178" s="1488"/>
      <c r="N178" s="1488"/>
      <c r="O178" s="1488"/>
      <c r="P178" s="1489"/>
      <c r="S178" s="255" t="s">
        <v>79</v>
      </c>
      <c r="T178" s="256" t="s">
        <v>70</v>
      </c>
      <c r="U178" s="452">
        <f>SUM(V178:AG178)</f>
        <v>0</v>
      </c>
      <c r="V178" s="519">
        <f t="shared" si="243"/>
        <v>0</v>
      </c>
      <c r="W178" s="499">
        <f t="shared" si="243"/>
        <v>0</v>
      </c>
      <c r="X178" s="499">
        <f t="shared" si="243"/>
        <v>0</v>
      </c>
      <c r="Y178" s="499">
        <f t="shared" si="243"/>
        <v>0</v>
      </c>
      <c r="Z178" s="499">
        <f t="shared" si="243"/>
        <v>0</v>
      </c>
      <c r="AA178" s="499">
        <f t="shared" si="243"/>
        <v>0</v>
      </c>
      <c r="AB178" s="499">
        <f t="shared" si="243"/>
        <v>0</v>
      </c>
      <c r="AC178" s="499">
        <f t="shared" si="243"/>
        <v>0</v>
      </c>
      <c r="AD178" s="499">
        <f t="shared" si="243"/>
        <v>0</v>
      </c>
      <c r="AE178" s="499">
        <f t="shared" si="243"/>
        <v>0</v>
      </c>
      <c r="AF178" s="499">
        <f t="shared" si="243"/>
        <v>0</v>
      </c>
      <c r="AG178" s="520">
        <f t="shared" si="243"/>
        <v>0</v>
      </c>
      <c r="AI178" s="57" t="s">
        <v>79</v>
      </c>
      <c r="AJ178" s="59" t="s">
        <v>70</v>
      </c>
      <c r="AK178" s="584">
        <f>IF(D178=0,0,BA178/D178)</f>
        <v>0</v>
      </c>
      <c r="AL178" s="1519">
        <v>0.4</v>
      </c>
      <c r="AM178" s="1507">
        <v>0.4</v>
      </c>
      <c r="AN178" s="1507">
        <v>0.4</v>
      </c>
      <c r="AO178" s="1507">
        <v>0.4</v>
      </c>
      <c r="AP178" s="1507">
        <v>0.4</v>
      </c>
      <c r="AQ178" s="1507">
        <v>0.4</v>
      </c>
      <c r="AR178" s="1507">
        <v>0.4</v>
      </c>
      <c r="AS178" s="1507">
        <v>0.4</v>
      </c>
      <c r="AT178" s="1507">
        <v>0.4</v>
      </c>
      <c r="AU178" s="1507">
        <v>0.4</v>
      </c>
      <c r="AV178" s="1507">
        <v>0.4</v>
      </c>
      <c r="AW178" s="1500">
        <v>0.4</v>
      </c>
      <c r="AY178" s="57" t="s">
        <v>79</v>
      </c>
      <c r="AZ178" s="36" t="s">
        <v>70</v>
      </c>
      <c r="BA178" s="544">
        <f>SUM(BB178:BM178)</f>
        <v>0</v>
      </c>
      <c r="BB178" s="519">
        <f>V178*AL178</f>
        <v>0</v>
      </c>
      <c r="BC178" s="500">
        <f t="shared" si="244"/>
        <v>0</v>
      </c>
      <c r="BD178" s="500">
        <f t="shared" si="244"/>
        <v>0</v>
      </c>
      <c r="BE178" s="500">
        <f t="shared" si="244"/>
        <v>0</v>
      </c>
      <c r="BF178" s="500">
        <f t="shared" si="244"/>
        <v>0</v>
      </c>
      <c r="BG178" s="500">
        <f t="shared" si="244"/>
        <v>0</v>
      </c>
      <c r="BH178" s="500">
        <f t="shared" si="244"/>
        <v>0</v>
      </c>
      <c r="BI178" s="500">
        <f t="shared" si="244"/>
        <v>0</v>
      </c>
      <c r="BJ178" s="500">
        <f t="shared" si="244"/>
        <v>0</v>
      </c>
      <c r="BK178" s="500">
        <f t="shared" si="244"/>
        <v>0</v>
      </c>
      <c r="BL178" s="500">
        <f t="shared" si="244"/>
        <v>0</v>
      </c>
      <c r="BM178" s="529">
        <f t="shared" si="244"/>
        <v>0</v>
      </c>
      <c r="CK178" s="57" t="s">
        <v>105</v>
      </c>
      <c r="CL178" s="426">
        <f t="shared" si="234"/>
        <v>0</v>
      </c>
      <c r="CM178" s="426">
        <f t="shared" si="237"/>
        <v>0</v>
      </c>
      <c r="CN178" s="426">
        <f t="shared" si="235"/>
        <v>0</v>
      </c>
      <c r="CO178" s="426">
        <f t="shared" si="238"/>
        <v>0</v>
      </c>
      <c r="CP178" s="426">
        <f t="shared" si="236"/>
        <v>0</v>
      </c>
      <c r="CQ178" s="426">
        <f t="shared" si="239"/>
        <v>0</v>
      </c>
    </row>
    <row r="179" spans="2:95" ht="13.5" thickBot="1" x14ac:dyDescent="0.25">
      <c r="B179" s="40"/>
      <c r="C179" s="56" t="s">
        <v>63</v>
      </c>
      <c r="D179" s="498">
        <f>SUM(E179:P179)</f>
        <v>0</v>
      </c>
      <c r="E179" s="1483"/>
      <c r="F179" s="1477"/>
      <c r="G179" s="1477"/>
      <c r="H179" s="1477"/>
      <c r="I179" s="1477"/>
      <c r="J179" s="1477"/>
      <c r="K179" s="1477"/>
      <c r="L179" s="1477"/>
      <c r="M179" s="1477"/>
      <c r="N179" s="1477"/>
      <c r="O179" s="1477"/>
      <c r="P179" s="1478"/>
      <c r="S179" s="258"/>
      <c r="T179" s="259" t="s">
        <v>63</v>
      </c>
      <c r="U179" s="498">
        <f>SUM(V179:AG179)</f>
        <v>0</v>
      </c>
      <c r="V179" s="548">
        <f t="shared" si="243"/>
        <v>0</v>
      </c>
      <c r="W179" s="549">
        <f t="shared" si="243"/>
        <v>0</v>
      </c>
      <c r="X179" s="549">
        <f t="shared" si="243"/>
        <v>0</v>
      </c>
      <c r="Y179" s="549">
        <f t="shared" si="243"/>
        <v>0</v>
      </c>
      <c r="Z179" s="549">
        <f t="shared" si="243"/>
        <v>0</v>
      </c>
      <c r="AA179" s="549">
        <f t="shared" si="243"/>
        <v>0</v>
      </c>
      <c r="AB179" s="549">
        <f t="shared" si="243"/>
        <v>0</v>
      </c>
      <c r="AC179" s="549">
        <f t="shared" si="243"/>
        <v>0</v>
      </c>
      <c r="AD179" s="549">
        <f t="shared" si="243"/>
        <v>0</v>
      </c>
      <c r="AE179" s="549">
        <f t="shared" si="243"/>
        <v>0</v>
      </c>
      <c r="AF179" s="549">
        <f t="shared" si="243"/>
        <v>0</v>
      </c>
      <c r="AG179" s="493">
        <f t="shared" si="243"/>
        <v>0</v>
      </c>
      <c r="AI179" s="40"/>
      <c r="AJ179" s="56" t="s">
        <v>63</v>
      </c>
      <c r="AK179" s="590">
        <f>IF(D179=0,0,BA179/D179)</f>
        <v>0</v>
      </c>
      <c r="AL179" s="1504">
        <v>0.09</v>
      </c>
      <c r="AM179" s="1505">
        <v>0.09</v>
      </c>
      <c r="AN179" s="1505">
        <v>0.09</v>
      </c>
      <c r="AO179" s="1505">
        <v>0.09</v>
      </c>
      <c r="AP179" s="1505">
        <v>0.09</v>
      </c>
      <c r="AQ179" s="1505">
        <v>0.09</v>
      </c>
      <c r="AR179" s="1505">
        <v>0.09</v>
      </c>
      <c r="AS179" s="1505">
        <v>0.09</v>
      </c>
      <c r="AT179" s="1505">
        <v>0.09</v>
      </c>
      <c r="AU179" s="1505">
        <v>0.09</v>
      </c>
      <c r="AV179" s="1505">
        <v>0.09</v>
      </c>
      <c r="AW179" s="1506">
        <v>0.09</v>
      </c>
      <c r="AY179" s="40"/>
      <c r="AZ179" s="56" t="s">
        <v>63</v>
      </c>
      <c r="BA179" s="502">
        <f>SUM(BB179:BM179)</f>
        <v>0</v>
      </c>
      <c r="BB179" s="515">
        <f>V179*AL179</f>
        <v>0</v>
      </c>
      <c r="BC179" s="531">
        <f t="shared" si="244"/>
        <v>0</v>
      </c>
      <c r="BD179" s="531">
        <f t="shared" si="244"/>
        <v>0</v>
      </c>
      <c r="BE179" s="531">
        <f t="shared" si="244"/>
        <v>0</v>
      </c>
      <c r="BF179" s="531">
        <f t="shared" si="244"/>
        <v>0</v>
      </c>
      <c r="BG179" s="531">
        <f t="shared" si="244"/>
        <v>0</v>
      </c>
      <c r="BH179" s="531">
        <f t="shared" si="244"/>
        <v>0</v>
      </c>
      <c r="BI179" s="531">
        <f t="shared" si="244"/>
        <v>0</v>
      </c>
      <c r="BJ179" s="531">
        <f t="shared" si="244"/>
        <v>0</v>
      </c>
      <c r="BK179" s="531">
        <f t="shared" si="244"/>
        <v>0</v>
      </c>
      <c r="BL179" s="531">
        <f t="shared" si="244"/>
        <v>0</v>
      </c>
      <c r="BM179" s="532">
        <f t="shared" si="244"/>
        <v>0</v>
      </c>
      <c r="CK179" s="57" t="s">
        <v>106</v>
      </c>
      <c r="CL179" s="426">
        <f t="shared" si="234"/>
        <v>0</v>
      </c>
      <c r="CM179" s="426">
        <f t="shared" si="237"/>
        <v>0</v>
      </c>
      <c r="CN179" s="426">
        <f t="shared" si="235"/>
        <v>0</v>
      </c>
      <c r="CO179" s="426">
        <f t="shared" si="238"/>
        <v>0</v>
      </c>
      <c r="CP179" s="426">
        <f t="shared" si="236"/>
        <v>0</v>
      </c>
      <c r="CQ179" s="426">
        <f t="shared" si="239"/>
        <v>0</v>
      </c>
    </row>
    <row r="180" spans="2:95" ht="13.5" thickBot="1" x14ac:dyDescent="0.25">
      <c r="B180" s="40" t="s">
        <v>80</v>
      </c>
      <c r="C180" s="1485"/>
      <c r="D180" s="452">
        <f>SUM(E180:P180)</f>
        <v>0</v>
      </c>
      <c r="E180" s="1490"/>
      <c r="F180" s="1491"/>
      <c r="G180" s="1491"/>
      <c r="H180" s="1491"/>
      <c r="I180" s="1491"/>
      <c r="J180" s="1491"/>
      <c r="K180" s="1491"/>
      <c r="L180" s="1491"/>
      <c r="M180" s="1491"/>
      <c r="N180" s="1491"/>
      <c r="O180" s="1491"/>
      <c r="P180" s="1492"/>
      <c r="S180" s="258" t="s">
        <v>80</v>
      </c>
      <c r="T180" s="1133">
        <f>C180</f>
        <v>0</v>
      </c>
      <c r="U180" s="452">
        <f>SUM(V180:AG180)</f>
        <v>0</v>
      </c>
      <c r="V180" s="522">
        <f t="shared" si="243"/>
        <v>0</v>
      </c>
      <c r="W180" s="526">
        <f t="shared" si="243"/>
        <v>0</v>
      </c>
      <c r="X180" s="526">
        <f t="shared" si="243"/>
        <v>0</v>
      </c>
      <c r="Y180" s="526">
        <f t="shared" si="243"/>
        <v>0</v>
      </c>
      <c r="Z180" s="526">
        <f t="shared" si="243"/>
        <v>0</v>
      </c>
      <c r="AA180" s="526">
        <f t="shared" si="243"/>
        <v>0</v>
      </c>
      <c r="AB180" s="526">
        <f t="shared" si="243"/>
        <v>0</v>
      </c>
      <c r="AC180" s="526">
        <f t="shared" si="243"/>
        <v>0</v>
      </c>
      <c r="AD180" s="526">
        <f t="shared" si="243"/>
        <v>0</v>
      </c>
      <c r="AE180" s="526">
        <f t="shared" si="243"/>
        <v>0</v>
      </c>
      <c r="AF180" s="526">
        <f t="shared" si="243"/>
        <v>0</v>
      </c>
      <c r="AG180" s="527">
        <f t="shared" si="243"/>
        <v>0</v>
      </c>
      <c r="AI180" s="40" t="s">
        <v>80</v>
      </c>
      <c r="AJ180" s="1133">
        <f>T180</f>
        <v>0</v>
      </c>
      <c r="AK180" s="584">
        <f>IF(BA180=0,0,BA180/BA175)</f>
        <v>0</v>
      </c>
      <c r="AL180" s="1520"/>
      <c r="AM180" s="1521"/>
      <c r="AN180" s="1521"/>
      <c r="AO180" s="1521"/>
      <c r="AP180" s="1521"/>
      <c r="AQ180" s="1521"/>
      <c r="AR180" s="1521"/>
      <c r="AS180" s="1521"/>
      <c r="AT180" s="1521"/>
      <c r="AU180" s="1521"/>
      <c r="AV180" s="1521"/>
      <c r="AW180" s="1522"/>
      <c r="AY180" s="40" t="s">
        <v>80</v>
      </c>
      <c r="AZ180" s="1133">
        <f>AJ180</f>
        <v>0</v>
      </c>
      <c r="BA180" s="494">
        <f>SUM(BB180:BM180)</f>
        <v>0</v>
      </c>
      <c r="BB180" s="548">
        <f>V180*AL180</f>
        <v>0</v>
      </c>
      <c r="BC180" s="553">
        <f t="shared" si="244"/>
        <v>0</v>
      </c>
      <c r="BD180" s="553">
        <f t="shared" si="244"/>
        <v>0</v>
      </c>
      <c r="BE180" s="553">
        <f t="shared" si="244"/>
        <v>0</v>
      </c>
      <c r="BF180" s="553">
        <f t="shared" si="244"/>
        <v>0</v>
      </c>
      <c r="BG180" s="553">
        <f t="shared" si="244"/>
        <v>0</v>
      </c>
      <c r="BH180" s="553">
        <f t="shared" si="244"/>
        <v>0</v>
      </c>
      <c r="BI180" s="553">
        <f t="shared" si="244"/>
        <v>0</v>
      </c>
      <c r="BJ180" s="553">
        <f t="shared" si="244"/>
        <v>0</v>
      </c>
      <c r="BK180" s="553">
        <f t="shared" si="244"/>
        <v>0</v>
      </c>
      <c r="BL180" s="553">
        <f t="shared" si="244"/>
        <v>0</v>
      </c>
      <c r="BM180" s="554">
        <f t="shared" si="244"/>
        <v>0</v>
      </c>
      <c r="CK180" s="57" t="s">
        <v>37</v>
      </c>
      <c r="CL180" s="426">
        <f t="shared" si="234"/>
        <v>0</v>
      </c>
      <c r="CM180" s="426">
        <f t="shared" si="237"/>
        <v>0</v>
      </c>
      <c r="CN180" s="426">
        <f t="shared" si="235"/>
        <v>0</v>
      </c>
      <c r="CO180" s="426">
        <f t="shared" si="238"/>
        <v>0</v>
      </c>
      <c r="CP180" s="426">
        <f t="shared" si="236"/>
        <v>0</v>
      </c>
      <c r="CQ180" s="426">
        <f t="shared" si="239"/>
        <v>0</v>
      </c>
    </row>
    <row r="181" spans="2:95" ht="13.5" thickBot="1" x14ac:dyDescent="0.25">
      <c r="B181" s="8" t="s">
        <v>72</v>
      </c>
      <c r="C181" s="10"/>
      <c r="D181" s="416">
        <f t="shared" ref="D181:P181" si="245">D175-SUM(D176:D180)</f>
        <v>0</v>
      </c>
      <c r="E181" s="507">
        <f>E175-SUM(E176:E180)</f>
        <v>0</v>
      </c>
      <c r="F181" s="508">
        <f t="shared" si="245"/>
        <v>0</v>
      </c>
      <c r="G181" s="508">
        <f t="shared" si="245"/>
        <v>0</v>
      </c>
      <c r="H181" s="508">
        <f t="shared" si="245"/>
        <v>0</v>
      </c>
      <c r="I181" s="508">
        <f t="shared" si="245"/>
        <v>0</v>
      </c>
      <c r="J181" s="508">
        <f t="shared" si="245"/>
        <v>0</v>
      </c>
      <c r="K181" s="508">
        <f t="shared" si="245"/>
        <v>0</v>
      </c>
      <c r="L181" s="508">
        <f t="shared" si="245"/>
        <v>0</v>
      </c>
      <c r="M181" s="508">
        <f t="shared" si="245"/>
        <v>0</v>
      </c>
      <c r="N181" s="508">
        <f t="shared" si="245"/>
        <v>0</v>
      </c>
      <c r="O181" s="508">
        <f t="shared" si="245"/>
        <v>0</v>
      </c>
      <c r="P181" s="497">
        <f t="shared" si="245"/>
        <v>0</v>
      </c>
      <c r="S181" s="258" t="s">
        <v>113</v>
      </c>
      <c r="T181" s="265"/>
      <c r="U181" s="416">
        <f>SUM(U176:U180)</f>
        <v>0</v>
      </c>
      <c r="V181" s="522">
        <f>SUM(V176:V180)</f>
        <v>0</v>
      </c>
      <c r="W181" s="517">
        <f>SUM(W176:W180)</f>
        <v>0</v>
      </c>
      <c r="X181" s="517">
        <f t="shared" ref="X181:AG181" si="246">SUM(X176:X180)</f>
        <v>0</v>
      </c>
      <c r="Y181" s="517">
        <f t="shared" si="246"/>
        <v>0</v>
      </c>
      <c r="Z181" s="517">
        <f t="shared" si="246"/>
        <v>0</v>
      </c>
      <c r="AA181" s="517">
        <f t="shared" si="246"/>
        <v>0</v>
      </c>
      <c r="AB181" s="517">
        <f t="shared" si="246"/>
        <v>0</v>
      </c>
      <c r="AC181" s="517">
        <f t="shared" si="246"/>
        <v>0</v>
      </c>
      <c r="AD181" s="517">
        <f t="shared" si="246"/>
        <v>0</v>
      </c>
      <c r="AE181" s="517">
        <f t="shared" si="246"/>
        <v>0</v>
      </c>
      <c r="AF181" s="517">
        <f t="shared" si="246"/>
        <v>0</v>
      </c>
      <c r="AG181" s="539">
        <f t="shared" si="246"/>
        <v>0</v>
      </c>
      <c r="AI181" s="40" t="s">
        <v>99</v>
      </c>
      <c r="AJ181" s="10"/>
      <c r="AK181" s="586">
        <f>IF(BA175=0,0,BA181/BA175)</f>
        <v>0</v>
      </c>
      <c r="AL181" s="580">
        <f t="shared" ref="AL181:AW181" si="247">IF(BB175=0,0,BB181/BB175)</f>
        <v>0</v>
      </c>
      <c r="AM181" s="581">
        <f t="shared" si="247"/>
        <v>0</v>
      </c>
      <c r="AN181" s="581">
        <f t="shared" si="247"/>
        <v>0</v>
      </c>
      <c r="AO181" s="581">
        <f t="shared" si="247"/>
        <v>0</v>
      </c>
      <c r="AP181" s="581">
        <f t="shared" si="247"/>
        <v>0</v>
      </c>
      <c r="AQ181" s="581">
        <f t="shared" si="247"/>
        <v>0</v>
      </c>
      <c r="AR181" s="581">
        <f t="shared" si="247"/>
        <v>0</v>
      </c>
      <c r="AS181" s="581">
        <f t="shared" si="247"/>
        <v>0</v>
      </c>
      <c r="AT181" s="581">
        <f t="shared" si="247"/>
        <v>0</v>
      </c>
      <c r="AU181" s="581">
        <f t="shared" si="247"/>
        <v>0</v>
      </c>
      <c r="AV181" s="581">
        <f t="shared" si="247"/>
        <v>0</v>
      </c>
      <c r="AW181" s="582">
        <f t="shared" si="247"/>
        <v>0</v>
      </c>
      <c r="AY181" s="40" t="s">
        <v>98</v>
      </c>
      <c r="AZ181" s="10"/>
      <c r="BA181" s="416">
        <f>SUM(BA176:BA180)</f>
        <v>0</v>
      </c>
      <c r="BB181" s="548">
        <f t="shared" ref="BB181:BM181" si="248">SUM(BB176:BB180)</f>
        <v>0</v>
      </c>
      <c r="BC181" s="553">
        <f t="shared" si="248"/>
        <v>0</v>
      </c>
      <c r="BD181" s="553">
        <f t="shared" si="248"/>
        <v>0</v>
      </c>
      <c r="BE181" s="553">
        <f t="shared" si="248"/>
        <v>0</v>
      </c>
      <c r="BF181" s="553">
        <f t="shared" si="248"/>
        <v>0</v>
      </c>
      <c r="BG181" s="553">
        <f t="shared" si="248"/>
        <v>0</v>
      </c>
      <c r="BH181" s="553">
        <f t="shared" si="248"/>
        <v>0</v>
      </c>
      <c r="BI181" s="553">
        <f t="shared" si="248"/>
        <v>0</v>
      </c>
      <c r="BJ181" s="553">
        <f t="shared" si="248"/>
        <v>0</v>
      </c>
      <c r="BK181" s="553">
        <f>SUM(BK176:BK180)</f>
        <v>0</v>
      </c>
      <c r="BL181" s="553">
        <f t="shared" si="248"/>
        <v>0</v>
      </c>
      <c r="BM181" s="554">
        <f t="shared" si="248"/>
        <v>0</v>
      </c>
      <c r="CK181" s="57" t="s">
        <v>36</v>
      </c>
      <c r="CL181" s="426">
        <f t="shared" si="234"/>
        <v>0</v>
      </c>
      <c r="CM181" s="426">
        <f t="shared" si="237"/>
        <v>0</v>
      </c>
      <c r="CN181" s="426">
        <f t="shared" si="235"/>
        <v>0</v>
      </c>
      <c r="CO181" s="426">
        <f t="shared" si="238"/>
        <v>0</v>
      </c>
      <c r="CP181" s="426">
        <f t="shared" si="236"/>
        <v>0</v>
      </c>
      <c r="CQ181" s="426">
        <f t="shared" si="239"/>
        <v>0</v>
      </c>
    </row>
    <row r="182" spans="2:95" ht="13.5" thickBot="1" x14ac:dyDescent="0.25">
      <c r="E182" s="794" t="str">
        <f t="shared" ref="E182:P182" si="249">IF(E181&lt;0,"Ylimyynti!!!"," ")</f>
        <v xml:space="preserve"> </v>
      </c>
      <c r="F182" s="794" t="str">
        <f t="shared" si="249"/>
        <v xml:space="preserve"> </v>
      </c>
      <c r="G182" s="794" t="str">
        <f t="shared" si="249"/>
        <v xml:space="preserve"> </v>
      </c>
      <c r="H182" s="794" t="str">
        <f t="shared" si="249"/>
        <v xml:space="preserve"> </v>
      </c>
      <c r="I182" s="794" t="str">
        <f t="shared" si="249"/>
        <v xml:space="preserve"> </v>
      </c>
      <c r="J182" s="794" t="str">
        <f t="shared" si="249"/>
        <v xml:space="preserve"> </v>
      </c>
      <c r="K182" s="794" t="str">
        <f t="shared" si="249"/>
        <v xml:space="preserve"> </v>
      </c>
      <c r="L182" s="794" t="str">
        <f t="shared" si="249"/>
        <v xml:space="preserve"> </v>
      </c>
      <c r="M182" s="794" t="str">
        <f t="shared" si="249"/>
        <v xml:space="preserve"> </v>
      </c>
      <c r="N182" s="794" t="str">
        <f t="shared" si="249"/>
        <v xml:space="preserve"> </v>
      </c>
      <c r="O182" s="794" t="str">
        <f t="shared" si="249"/>
        <v xml:space="preserve"> </v>
      </c>
      <c r="P182" s="794" t="str">
        <f t="shared" si="249"/>
        <v xml:space="preserve"> </v>
      </c>
      <c r="CK182" s="57" t="s">
        <v>94</v>
      </c>
      <c r="CL182" s="426">
        <f t="shared" si="234"/>
        <v>0</v>
      </c>
      <c r="CM182" s="426">
        <f t="shared" si="237"/>
        <v>0</v>
      </c>
      <c r="CN182" s="426">
        <f t="shared" si="235"/>
        <v>0</v>
      </c>
      <c r="CO182" s="426">
        <f t="shared" si="238"/>
        <v>0</v>
      </c>
      <c r="CP182" s="426">
        <f t="shared" si="236"/>
        <v>0</v>
      </c>
      <c r="CQ182" s="426">
        <f t="shared" si="239"/>
        <v>0</v>
      </c>
    </row>
    <row r="183" spans="2:95" ht="13.5" thickBot="1" x14ac:dyDescent="0.25">
      <c r="B183" s="5" t="s">
        <v>526</v>
      </c>
      <c r="C183" s="36"/>
      <c r="D183" s="249" t="s">
        <v>40</v>
      </c>
      <c r="E183" s="245"/>
      <c r="F183" s="246"/>
      <c r="G183" s="246"/>
      <c r="H183" s="246"/>
      <c r="I183" s="246"/>
      <c r="J183" s="219" t="s">
        <v>42</v>
      </c>
      <c r="K183" s="246"/>
      <c r="L183" s="246"/>
      <c r="M183" s="246"/>
      <c r="N183" s="246"/>
      <c r="O183" s="246"/>
      <c r="P183" s="247"/>
      <c r="Q183" s="250"/>
      <c r="S183" s="251" t="s">
        <v>526</v>
      </c>
      <c r="T183" s="252"/>
      <c r="U183" s="249" t="s">
        <v>40</v>
      </c>
      <c r="V183" s="245"/>
      <c r="W183" s="246"/>
      <c r="X183" s="246"/>
      <c r="Y183" s="246"/>
      <c r="Z183" s="246"/>
      <c r="AA183" s="219" t="s">
        <v>42</v>
      </c>
      <c r="AB183" s="246"/>
      <c r="AC183" s="246"/>
      <c r="AD183" s="246"/>
      <c r="AE183" s="246"/>
      <c r="AF183" s="246"/>
      <c r="AG183" s="247"/>
      <c r="AI183" s="5" t="s">
        <v>526</v>
      </c>
      <c r="AJ183" s="36"/>
      <c r="AK183" s="51" t="s">
        <v>40</v>
      </c>
      <c r="AL183" s="47"/>
      <c r="AM183" s="48"/>
      <c r="AN183" s="48"/>
      <c r="AO183" s="48"/>
      <c r="AP183" s="48"/>
      <c r="AQ183" s="41" t="s">
        <v>42</v>
      </c>
      <c r="AR183" s="48"/>
      <c r="AS183" s="48"/>
      <c r="AT183" s="48"/>
      <c r="AU183" s="48"/>
      <c r="AV183" s="48"/>
      <c r="AW183" s="49"/>
      <c r="AY183" s="5" t="s">
        <v>526</v>
      </c>
      <c r="AZ183" s="36"/>
      <c r="BA183" s="249" t="s">
        <v>40</v>
      </c>
      <c r="BB183" s="245"/>
      <c r="BC183" s="246"/>
      <c r="BD183" s="246"/>
      <c r="BE183" s="246"/>
      <c r="BF183" s="246"/>
      <c r="BG183" s="219" t="s">
        <v>42</v>
      </c>
      <c r="BH183" s="246"/>
      <c r="BI183" s="246"/>
      <c r="BJ183" s="246"/>
      <c r="BK183" s="246"/>
      <c r="BL183" s="246"/>
      <c r="BM183" s="247"/>
      <c r="CK183" s="40" t="s">
        <v>93</v>
      </c>
      <c r="CL183" s="615">
        <f t="shared" si="234"/>
        <v>0</v>
      </c>
      <c r="CM183" s="426">
        <f t="shared" si="237"/>
        <v>0</v>
      </c>
      <c r="CN183" s="615">
        <f t="shared" si="235"/>
        <v>0</v>
      </c>
      <c r="CO183" s="426">
        <f t="shared" si="238"/>
        <v>0</v>
      </c>
      <c r="CP183" s="615">
        <f t="shared" si="236"/>
        <v>0</v>
      </c>
      <c r="CQ183" s="426">
        <f t="shared" si="239"/>
        <v>0</v>
      </c>
    </row>
    <row r="184" spans="2:95" ht="13.5" thickBot="1" x14ac:dyDescent="0.25">
      <c r="B184" s="57"/>
      <c r="C184" s="59"/>
      <c r="D184" s="253" t="s">
        <v>41</v>
      </c>
      <c r="E184" s="254">
        <v>1</v>
      </c>
      <c r="F184" s="70">
        <v>2</v>
      </c>
      <c r="G184" s="70">
        <v>3</v>
      </c>
      <c r="H184" s="70">
        <v>4</v>
      </c>
      <c r="I184" s="70">
        <v>5</v>
      </c>
      <c r="J184" s="70">
        <v>6</v>
      </c>
      <c r="K184" s="70">
        <v>7</v>
      </c>
      <c r="L184" s="70">
        <v>8</v>
      </c>
      <c r="M184" s="70">
        <v>9</v>
      </c>
      <c r="N184" s="70">
        <v>10</v>
      </c>
      <c r="O184" s="70">
        <v>11</v>
      </c>
      <c r="P184" s="71">
        <v>12</v>
      </c>
      <c r="Q184" s="87"/>
      <c r="S184" s="255"/>
      <c r="T184" s="256"/>
      <c r="U184" s="253" t="s">
        <v>41</v>
      </c>
      <c r="V184" s="254">
        <v>1</v>
      </c>
      <c r="W184" s="70">
        <v>2</v>
      </c>
      <c r="X184" s="70">
        <v>3</v>
      </c>
      <c r="Y184" s="70">
        <v>4</v>
      </c>
      <c r="Z184" s="70">
        <v>5</v>
      </c>
      <c r="AA184" s="70">
        <v>6</v>
      </c>
      <c r="AB184" s="70">
        <v>7</v>
      </c>
      <c r="AC184" s="70">
        <v>8</v>
      </c>
      <c r="AD184" s="70">
        <v>9</v>
      </c>
      <c r="AE184" s="70">
        <v>10</v>
      </c>
      <c r="AF184" s="70">
        <v>11</v>
      </c>
      <c r="AG184" s="71">
        <v>12</v>
      </c>
      <c r="AI184" s="57"/>
      <c r="AJ184" s="59"/>
      <c r="AK184" s="69" t="s">
        <v>41</v>
      </c>
      <c r="AL184" s="72">
        <v>1</v>
      </c>
      <c r="AM184" s="70">
        <v>2</v>
      </c>
      <c r="AN184" s="70">
        <v>3</v>
      </c>
      <c r="AO184" s="70">
        <v>4</v>
      </c>
      <c r="AP184" s="70">
        <v>5</v>
      </c>
      <c r="AQ184" s="70">
        <v>6</v>
      </c>
      <c r="AR184" s="70">
        <v>7</v>
      </c>
      <c r="AS184" s="70">
        <v>8</v>
      </c>
      <c r="AT184" s="70">
        <v>9</v>
      </c>
      <c r="AU184" s="70">
        <v>10</v>
      </c>
      <c r="AV184" s="70">
        <v>11</v>
      </c>
      <c r="AW184" s="71">
        <v>12</v>
      </c>
      <c r="AY184" s="57"/>
      <c r="AZ184" s="59"/>
      <c r="BA184" s="253" t="s">
        <v>41</v>
      </c>
      <c r="BB184" s="254">
        <v>1</v>
      </c>
      <c r="BC184" s="70">
        <v>2</v>
      </c>
      <c r="BD184" s="70">
        <v>3</v>
      </c>
      <c r="BE184" s="70">
        <v>4</v>
      </c>
      <c r="BF184" s="70">
        <v>5</v>
      </c>
      <c r="BG184" s="70">
        <v>6</v>
      </c>
      <c r="BH184" s="70">
        <v>7</v>
      </c>
      <c r="BI184" s="70">
        <v>8</v>
      </c>
      <c r="BJ184" s="70">
        <v>9</v>
      </c>
      <c r="BK184" s="70">
        <v>10</v>
      </c>
      <c r="BL184" s="70">
        <v>11</v>
      </c>
      <c r="BM184" s="71">
        <v>12</v>
      </c>
      <c r="CK184" s="40" t="s">
        <v>107</v>
      </c>
      <c r="CL184" s="423">
        <f t="shared" ref="CL184:CQ184" si="250">SUM(CL172:CL183)</f>
        <v>0</v>
      </c>
      <c r="CM184" s="423">
        <f t="shared" si="250"/>
        <v>0</v>
      </c>
      <c r="CN184" s="423">
        <f t="shared" si="250"/>
        <v>0</v>
      </c>
      <c r="CO184" s="423">
        <f t="shared" si="250"/>
        <v>0</v>
      </c>
      <c r="CP184" s="423">
        <f t="shared" si="250"/>
        <v>0</v>
      </c>
      <c r="CQ184" s="423">
        <f t="shared" si="250"/>
        <v>0</v>
      </c>
    </row>
    <row r="185" spans="2:95" ht="13.5" thickBot="1" x14ac:dyDescent="0.25">
      <c r="B185" s="8" t="s">
        <v>73</v>
      </c>
      <c r="C185" s="58"/>
      <c r="D185" s="423">
        <f>'3 Saalis'!D20</f>
        <v>0</v>
      </c>
      <c r="E185" s="461">
        <f>'3 Saalis'!E20</f>
        <v>0</v>
      </c>
      <c r="F185" s="453">
        <f>'3 Saalis'!F20</f>
        <v>0</v>
      </c>
      <c r="G185" s="453">
        <f>'3 Saalis'!G20</f>
        <v>0</v>
      </c>
      <c r="H185" s="453">
        <f>'3 Saalis'!H20</f>
        <v>0</v>
      </c>
      <c r="I185" s="453">
        <f>'3 Saalis'!I20</f>
        <v>0</v>
      </c>
      <c r="J185" s="453">
        <f>'3 Saalis'!J20</f>
        <v>0</v>
      </c>
      <c r="K185" s="453">
        <f>'3 Saalis'!K20</f>
        <v>0</v>
      </c>
      <c r="L185" s="453">
        <f>'3 Saalis'!L20</f>
        <v>0</v>
      </c>
      <c r="M185" s="453">
        <f>'3 Saalis'!M20</f>
        <v>0</v>
      </c>
      <c r="N185" s="453">
        <f>'3 Saalis'!N20</f>
        <v>0</v>
      </c>
      <c r="O185" s="453">
        <f>'3 Saalis'!O20</f>
        <v>0</v>
      </c>
      <c r="P185" s="497">
        <f>'3 Saalis'!P20</f>
        <v>0</v>
      </c>
      <c r="Q185" s="257"/>
      <c r="S185" s="260" t="s">
        <v>73</v>
      </c>
      <c r="T185" s="261"/>
      <c r="U185" s="423">
        <f t="shared" ref="U185:AG185" si="251">D185</f>
        <v>0</v>
      </c>
      <c r="V185" s="487">
        <f t="shared" si="251"/>
        <v>0</v>
      </c>
      <c r="W185" s="488">
        <f t="shared" si="251"/>
        <v>0</v>
      </c>
      <c r="X185" s="488">
        <f t="shared" si="251"/>
        <v>0</v>
      </c>
      <c r="Y185" s="488">
        <f t="shared" si="251"/>
        <v>0</v>
      </c>
      <c r="Z185" s="488">
        <f t="shared" si="251"/>
        <v>0</v>
      </c>
      <c r="AA185" s="488">
        <f t="shared" si="251"/>
        <v>0</v>
      </c>
      <c r="AB185" s="488">
        <f t="shared" si="251"/>
        <v>0</v>
      </c>
      <c r="AC185" s="488">
        <f t="shared" si="251"/>
        <v>0</v>
      </c>
      <c r="AD185" s="488">
        <f t="shared" si="251"/>
        <v>0</v>
      </c>
      <c r="AE185" s="488">
        <f t="shared" si="251"/>
        <v>0</v>
      </c>
      <c r="AF185" s="488">
        <f t="shared" si="251"/>
        <v>0</v>
      </c>
      <c r="AG185" s="454">
        <f t="shared" si="251"/>
        <v>0</v>
      </c>
      <c r="AI185" s="8" t="s">
        <v>73</v>
      </c>
      <c r="AJ185" s="58"/>
      <c r="AK185" s="424">
        <f t="shared" ref="AK185:AW185" si="252">D185</f>
        <v>0</v>
      </c>
      <c r="AL185" s="589">
        <f t="shared" si="252"/>
        <v>0</v>
      </c>
      <c r="AM185" s="589">
        <f t="shared" si="252"/>
        <v>0</v>
      </c>
      <c r="AN185" s="589">
        <f t="shared" si="252"/>
        <v>0</v>
      </c>
      <c r="AO185" s="589">
        <f t="shared" si="252"/>
        <v>0</v>
      </c>
      <c r="AP185" s="589">
        <f t="shared" si="252"/>
        <v>0</v>
      </c>
      <c r="AQ185" s="589">
        <f t="shared" si="252"/>
        <v>0</v>
      </c>
      <c r="AR185" s="589">
        <f t="shared" si="252"/>
        <v>0</v>
      </c>
      <c r="AS185" s="589">
        <f t="shared" si="252"/>
        <v>0</v>
      </c>
      <c r="AT185" s="589">
        <f t="shared" si="252"/>
        <v>0</v>
      </c>
      <c r="AU185" s="589">
        <f t="shared" si="252"/>
        <v>0</v>
      </c>
      <c r="AV185" s="589">
        <f t="shared" si="252"/>
        <v>0</v>
      </c>
      <c r="AW185" s="1135">
        <f t="shared" si="252"/>
        <v>0</v>
      </c>
      <c r="AY185" s="8" t="s">
        <v>73</v>
      </c>
      <c r="AZ185" s="58"/>
      <c r="BA185" s="423">
        <f t="shared" ref="BA185:BM185" si="253">AK185</f>
        <v>0</v>
      </c>
      <c r="BB185" s="488">
        <f t="shared" si="253"/>
        <v>0</v>
      </c>
      <c r="BC185" s="488">
        <f t="shared" si="253"/>
        <v>0</v>
      </c>
      <c r="BD185" s="488">
        <f t="shared" si="253"/>
        <v>0</v>
      </c>
      <c r="BE185" s="488">
        <f t="shared" si="253"/>
        <v>0</v>
      </c>
      <c r="BF185" s="488">
        <f t="shared" si="253"/>
        <v>0</v>
      </c>
      <c r="BG185" s="488">
        <f t="shared" si="253"/>
        <v>0</v>
      </c>
      <c r="BH185" s="488">
        <f t="shared" si="253"/>
        <v>0</v>
      </c>
      <c r="BI185" s="488">
        <f t="shared" si="253"/>
        <v>0</v>
      </c>
      <c r="BJ185" s="488">
        <f t="shared" si="253"/>
        <v>0</v>
      </c>
      <c r="BK185" s="488">
        <f t="shared" si="253"/>
        <v>0</v>
      </c>
      <c r="BL185" s="488">
        <f t="shared" si="253"/>
        <v>0</v>
      </c>
      <c r="BM185" s="489">
        <f t="shared" si="253"/>
        <v>0</v>
      </c>
    </row>
    <row r="186" spans="2:95" x14ac:dyDescent="0.2">
      <c r="B186" s="57"/>
      <c r="C186" s="59" t="s">
        <v>76</v>
      </c>
      <c r="D186" s="501">
        <f t="shared" ref="D186:D194" si="254">SUM(E186:P186)</f>
        <v>0</v>
      </c>
      <c r="E186" s="1487"/>
      <c r="F186" s="1488"/>
      <c r="G186" s="1488"/>
      <c r="H186" s="1488"/>
      <c r="I186" s="1488"/>
      <c r="J186" s="1488"/>
      <c r="K186" s="1488"/>
      <c r="L186" s="1488"/>
      <c r="M186" s="1488"/>
      <c r="N186" s="1488"/>
      <c r="O186" s="1488"/>
      <c r="P186" s="1489"/>
      <c r="S186" s="255"/>
      <c r="T186" s="256" t="s">
        <v>76</v>
      </c>
      <c r="U186" s="452">
        <f t="shared" ref="U186:U192" si="255">SUM(V186:AG186)</f>
        <v>0</v>
      </c>
      <c r="V186" s="519">
        <f t="shared" ref="V186:AG186" si="256">E186</f>
        <v>0</v>
      </c>
      <c r="W186" s="500">
        <f t="shared" si="256"/>
        <v>0</v>
      </c>
      <c r="X186" s="500">
        <f t="shared" si="256"/>
        <v>0</v>
      </c>
      <c r="Y186" s="500">
        <f t="shared" si="256"/>
        <v>0</v>
      </c>
      <c r="Z186" s="500">
        <f t="shared" si="256"/>
        <v>0</v>
      </c>
      <c r="AA186" s="500">
        <f t="shared" si="256"/>
        <v>0</v>
      </c>
      <c r="AB186" s="500">
        <f t="shared" si="256"/>
        <v>0</v>
      </c>
      <c r="AC186" s="500">
        <f t="shared" si="256"/>
        <v>0</v>
      </c>
      <c r="AD186" s="500">
        <f t="shared" si="256"/>
        <v>0</v>
      </c>
      <c r="AE186" s="500">
        <f t="shared" si="256"/>
        <v>0</v>
      </c>
      <c r="AF186" s="500">
        <f t="shared" si="256"/>
        <v>0</v>
      </c>
      <c r="AG186" s="529">
        <f t="shared" si="256"/>
        <v>0</v>
      </c>
      <c r="AI186" s="57"/>
      <c r="AJ186" s="59" t="s">
        <v>76</v>
      </c>
      <c r="AK186" s="576">
        <f t="shared" ref="AK186:AK194" si="257">IF(D186=0,0,BA186/D186)</f>
        <v>0</v>
      </c>
      <c r="AL186" s="1519"/>
      <c r="AM186" s="1507"/>
      <c r="AN186" s="1507"/>
      <c r="AO186" s="1507"/>
      <c r="AP186" s="1507"/>
      <c r="AQ186" s="1507"/>
      <c r="AR186" s="1507"/>
      <c r="AS186" s="1507"/>
      <c r="AT186" s="1507"/>
      <c r="AU186" s="1507"/>
      <c r="AV186" s="1507"/>
      <c r="AW186" s="1500"/>
      <c r="AY186" s="57"/>
      <c r="AZ186" s="36" t="s">
        <v>76</v>
      </c>
      <c r="BA186" s="544">
        <f t="shared" ref="BA186:BA193" si="258">SUM(BB186:BM186)</f>
        <v>0</v>
      </c>
      <c r="BB186" s="519">
        <f>V186*AL186</f>
        <v>0</v>
      </c>
      <c r="BC186" s="500">
        <f t="shared" ref="BC186:BM194" si="259">W186*AM186</f>
        <v>0</v>
      </c>
      <c r="BD186" s="500">
        <f t="shared" si="259"/>
        <v>0</v>
      </c>
      <c r="BE186" s="500">
        <f t="shared" si="259"/>
        <v>0</v>
      </c>
      <c r="BF186" s="500">
        <f t="shared" si="259"/>
        <v>0</v>
      </c>
      <c r="BG186" s="500">
        <f t="shared" si="259"/>
        <v>0</v>
      </c>
      <c r="BH186" s="500">
        <f t="shared" si="259"/>
        <v>0</v>
      </c>
      <c r="BI186" s="500">
        <f t="shared" si="259"/>
        <v>0</v>
      </c>
      <c r="BJ186" s="500">
        <f t="shared" si="259"/>
        <v>0</v>
      </c>
      <c r="BK186" s="500">
        <f t="shared" si="259"/>
        <v>0</v>
      </c>
      <c r="BL186" s="500">
        <f t="shared" si="259"/>
        <v>0</v>
      </c>
      <c r="BM186" s="529">
        <f t="shared" si="259"/>
        <v>0</v>
      </c>
    </row>
    <row r="187" spans="2:95" x14ac:dyDescent="0.2">
      <c r="B187" s="57"/>
      <c r="C187" s="59" t="s">
        <v>77</v>
      </c>
      <c r="D187" s="501">
        <f t="shared" si="254"/>
        <v>0</v>
      </c>
      <c r="E187" s="1486"/>
      <c r="F187" s="1471"/>
      <c r="G187" s="1471"/>
      <c r="H187" s="1471"/>
      <c r="I187" s="1471"/>
      <c r="J187" s="1471"/>
      <c r="K187" s="1471"/>
      <c r="L187" s="1471"/>
      <c r="M187" s="1471"/>
      <c r="N187" s="1471"/>
      <c r="O187" s="1471"/>
      <c r="P187" s="1472"/>
      <c r="S187" s="255"/>
      <c r="T187" s="256" t="s">
        <v>77</v>
      </c>
      <c r="U187" s="501">
        <f t="shared" si="255"/>
        <v>0</v>
      </c>
      <c r="V187" s="530">
        <f>E187*'5 Kalan alkukäsittely satamassa'!$D$21</f>
        <v>0</v>
      </c>
      <c r="W187" s="524">
        <f>F187*'5 Kalan alkukäsittely satamassa'!$D$21</f>
        <v>0</v>
      </c>
      <c r="X187" s="524">
        <f>G187*'5 Kalan alkukäsittely satamassa'!$D$21</f>
        <v>0</v>
      </c>
      <c r="Y187" s="524">
        <f>H187*'5 Kalan alkukäsittely satamassa'!$D$21</f>
        <v>0</v>
      </c>
      <c r="Z187" s="524">
        <f>I187*'5 Kalan alkukäsittely satamassa'!$D$21</f>
        <v>0</v>
      </c>
      <c r="AA187" s="524">
        <f>J187*'5 Kalan alkukäsittely satamassa'!$D$21</f>
        <v>0</v>
      </c>
      <c r="AB187" s="524">
        <f>K187*'5 Kalan alkukäsittely satamassa'!$D$21</f>
        <v>0</v>
      </c>
      <c r="AC187" s="524">
        <f>L187*'5 Kalan alkukäsittely satamassa'!$D$21</f>
        <v>0</v>
      </c>
      <c r="AD187" s="524">
        <f>M187*'5 Kalan alkukäsittely satamassa'!$D$21</f>
        <v>0</v>
      </c>
      <c r="AE187" s="524">
        <f>N187*'5 Kalan alkukäsittely satamassa'!$D$21</f>
        <v>0</v>
      </c>
      <c r="AF187" s="524">
        <f>O187*'5 Kalan alkukäsittely satamassa'!$D$21</f>
        <v>0</v>
      </c>
      <c r="AG187" s="525">
        <f>P187*'5 Kalan alkukäsittely satamassa'!$D$21</f>
        <v>0</v>
      </c>
      <c r="AI187" s="57"/>
      <c r="AJ187" s="59" t="s">
        <v>77</v>
      </c>
      <c r="AK187" s="576">
        <f t="shared" si="257"/>
        <v>0</v>
      </c>
      <c r="AL187" s="1501"/>
      <c r="AM187" s="1502"/>
      <c r="AN187" s="1502"/>
      <c r="AO187" s="1502"/>
      <c r="AP187" s="1502"/>
      <c r="AQ187" s="1502"/>
      <c r="AR187" s="1502"/>
      <c r="AS187" s="1502"/>
      <c r="AT187" s="1502"/>
      <c r="AU187" s="1502"/>
      <c r="AV187" s="1502"/>
      <c r="AW187" s="1503"/>
      <c r="AY187" s="57"/>
      <c r="AZ187" s="59" t="s">
        <v>77</v>
      </c>
      <c r="BA187" s="501">
        <f t="shared" si="258"/>
        <v>0</v>
      </c>
      <c r="BB187" s="530">
        <f t="shared" ref="BB187:BB194" si="260">V187*AL187</f>
        <v>0</v>
      </c>
      <c r="BC187" s="524">
        <f t="shared" si="259"/>
        <v>0</v>
      </c>
      <c r="BD187" s="524">
        <f t="shared" si="259"/>
        <v>0</v>
      </c>
      <c r="BE187" s="524">
        <f t="shared" si="259"/>
        <v>0</v>
      </c>
      <c r="BF187" s="524">
        <f t="shared" si="259"/>
        <v>0</v>
      </c>
      <c r="BG187" s="524">
        <f t="shared" si="259"/>
        <v>0</v>
      </c>
      <c r="BH187" s="524">
        <f t="shared" si="259"/>
        <v>0</v>
      </c>
      <c r="BI187" s="524">
        <f t="shared" si="259"/>
        <v>0</v>
      </c>
      <c r="BJ187" s="524">
        <f t="shared" si="259"/>
        <v>0</v>
      </c>
      <c r="BK187" s="524">
        <f t="shared" si="259"/>
        <v>0</v>
      </c>
      <c r="BL187" s="524">
        <f t="shared" si="259"/>
        <v>0</v>
      </c>
      <c r="BM187" s="525">
        <f t="shared" si="259"/>
        <v>0</v>
      </c>
    </row>
    <row r="188" spans="2:95" x14ac:dyDescent="0.2">
      <c r="B188" s="57"/>
      <c r="C188" s="59" t="s">
        <v>78</v>
      </c>
      <c r="D188" s="501">
        <f t="shared" si="254"/>
        <v>0</v>
      </c>
      <c r="E188" s="1495"/>
      <c r="F188" s="1474"/>
      <c r="G188" s="1474"/>
      <c r="H188" s="1474"/>
      <c r="I188" s="1474"/>
      <c r="J188" s="1474"/>
      <c r="K188" s="1474"/>
      <c r="L188" s="1474"/>
      <c r="M188" s="1474"/>
      <c r="N188" s="1474"/>
      <c r="O188" s="1474"/>
      <c r="P188" s="1475"/>
      <c r="S188" s="255"/>
      <c r="T188" s="256" t="s">
        <v>78</v>
      </c>
      <c r="U188" s="452">
        <f t="shared" si="255"/>
        <v>0</v>
      </c>
      <c r="V188" s="530">
        <f>E188*'5 Kalan alkukäsittely satamassa'!$F$21</f>
        <v>0</v>
      </c>
      <c r="W188" s="524">
        <f>F188*'5 Kalan alkukäsittely satamassa'!$F$21</f>
        <v>0</v>
      </c>
      <c r="X188" s="524">
        <f>G188*'5 Kalan alkukäsittely satamassa'!$F$21</f>
        <v>0</v>
      </c>
      <c r="Y188" s="524">
        <f>H188*'5 Kalan alkukäsittely satamassa'!$F$21</f>
        <v>0</v>
      </c>
      <c r="Z188" s="524">
        <f>I188*'5 Kalan alkukäsittely satamassa'!$F$21</f>
        <v>0</v>
      </c>
      <c r="AA188" s="524">
        <f>J188*'5 Kalan alkukäsittely satamassa'!$F$21</f>
        <v>0</v>
      </c>
      <c r="AB188" s="524">
        <f>K188*'5 Kalan alkukäsittely satamassa'!$F$21</f>
        <v>0</v>
      </c>
      <c r="AC188" s="524">
        <f>L188*'5 Kalan alkukäsittely satamassa'!$F$21</f>
        <v>0</v>
      </c>
      <c r="AD188" s="524">
        <f>M188*'5 Kalan alkukäsittely satamassa'!$F$21</f>
        <v>0</v>
      </c>
      <c r="AE188" s="524">
        <f>N188*'5 Kalan alkukäsittely satamassa'!$F$21</f>
        <v>0</v>
      </c>
      <c r="AF188" s="524">
        <f>O188*'5 Kalan alkukäsittely satamassa'!$F$21</f>
        <v>0</v>
      </c>
      <c r="AG188" s="525">
        <f>P188*'5 Kalan alkukäsittely satamassa'!$F$21</f>
        <v>0</v>
      </c>
      <c r="AI188" s="57"/>
      <c r="AJ188" s="59" t="s">
        <v>78</v>
      </c>
      <c r="AK188" s="576">
        <f t="shared" si="257"/>
        <v>0</v>
      </c>
      <c r="AL188" s="1508"/>
      <c r="AM188" s="1509"/>
      <c r="AN188" s="1509"/>
      <c r="AO188" s="1509"/>
      <c r="AP188" s="1509"/>
      <c r="AQ188" s="1509"/>
      <c r="AR188" s="1509"/>
      <c r="AS188" s="1509"/>
      <c r="AT188" s="1509"/>
      <c r="AU188" s="1509"/>
      <c r="AV188" s="1509"/>
      <c r="AW188" s="1510"/>
      <c r="AY188" s="57"/>
      <c r="AZ188" s="59" t="s">
        <v>78</v>
      </c>
      <c r="BA188" s="501">
        <f t="shared" si="258"/>
        <v>0</v>
      </c>
      <c r="BB188" s="530">
        <f t="shared" si="260"/>
        <v>0</v>
      </c>
      <c r="BC188" s="524">
        <f t="shared" si="259"/>
        <v>0</v>
      </c>
      <c r="BD188" s="524">
        <f t="shared" si="259"/>
        <v>0</v>
      </c>
      <c r="BE188" s="524">
        <f t="shared" si="259"/>
        <v>0</v>
      </c>
      <c r="BF188" s="524">
        <f t="shared" si="259"/>
        <v>0</v>
      </c>
      <c r="BG188" s="524">
        <f t="shared" si="259"/>
        <v>0</v>
      </c>
      <c r="BH188" s="524">
        <f t="shared" si="259"/>
        <v>0</v>
      </c>
      <c r="BI188" s="524">
        <f t="shared" si="259"/>
        <v>0</v>
      </c>
      <c r="BJ188" s="524">
        <f t="shared" si="259"/>
        <v>0</v>
      </c>
      <c r="BK188" s="524">
        <f t="shared" si="259"/>
        <v>0</v>
      </c>
      <c r="BL188" s="524">
        <f t="shared" si="259"/>
        <v>0</v>
      </c>
      <c r="BM188" s="525">
        <f t="shared" si="259"/>
        <v>0</v>
      </c>
    </row>
    <row r="189" spans="2:95" ht="13.5" thickBot="1" x14ac:dyDescent="0.25">
      <c r="B189" s="40"/>
      <c r="C189" s="56" t="s">
        <v>63</v>
      </c>
      <c r="D189" s="498">
        <f t="shared" si="254"/>
        <v>0</v>
      </c>
      <c r="E189" s="1483"/>
      <c r="F189" s="1477"/>
      <c r="G189" s="1477"/>
      <c r="H189" s="1477"/>
      <c r="I189" s="1477"/>
      <c r="J189" s="1477"/>
      <c r="K189" s="1477"/>
      <c r="L189" s="1477"/>
      <c r="M189" s="1477"/>
      <c r="N189" s="1477"/>
      <c r="O189" s="1477"/>
      <c r="P189" s="1478"/>
      <c r="S189" s="258"/>
      <c r="T189" s="259" t="s">
        <v>63</v>
      </c>
      <c r="U189" s="555">
        <f t="shared" si="255"/>
        <v>0</v>
      </c>
      <c r="V189" s="541">
        <f t="shared" ref="V189:AG190" si="261">E189</f>
        <v>0</v>
      </c>
      <c r="W189" s="542">
        <f t="shared" si="261"/>
        <v>0</v>
      </c>
      <c r="X189" s="542">
        <f t="shared" si="261"/>
        <v>0</v>
      </c>
      <c r="Y189" s="542">
        <f t="shared" si="261"/>
        <v>0</v>
      </c>
      <c r="Z189" s="542">
        <f t="shared" si="261"/>
        <v>0</v>
      </c>
      <c r="AA189" s="542">
        <f t="shared" si="261"/>
        <v>0</v>
      </c>
      <c r="AB189" s="542">
        <f t="shared" si="261"/>
        <v>0</v>
      </c>
      <c r="AC189" s="542">
        <f t="shared" si="261"/>
        <v>0</v>
      </c>
      <c r="AD189" s="542">
        <f t="shared" si="261"/>
        <v>0</v>
      </c>
      <c r="AE189" s="542">
        <f t="shared" si="261"/>
        <v>0</v>
      </c>
      <c r="AF189" s="542">
        <f t="shared" si="261"/>
        <v>0</v>
      </c>
      <c r="AG189" s="543">
        <f t="shared" si="261"/>
        <v>0</v>
      </c>
      <c r="AI189" s="40"/>
      <c r="AJ189" s="56" t="s">
        <v>63</v>
      </c>
      <c r="AK189" s="577">
        <f t="shared" si="257"/>
        <v>0</v>
      </c>
      <c r="AL189" s="1504"/>
      <c r="AM189" s="1505"/>
      <c r="AN189" s="1505"/>
      <c r="AO189" s="1505"/>
      <c r="AP189" s="1505"/>
      <c r="AQ189" s="1505"/>
      <c r="AR189" s="1505"/>
      <c r="AS189" s="1505"/>
      <c r="AT189" s="1505"/>
      <c r="AU189" s="1505"/>
      <c r="AV189" s="1505"/>
      <c r="AW189" s="1506"/>
      <c r="AY189" s="40"/>
      <c r="AZ189" s="56" t="s">
        <v>63</v>
      </c>
      <c r="BA189" s="555">
        <f t="shared" si="258"/>
        <v>0</v>
      </c>
      <c r="BB189" s="541">
        <f t="shared" si="260"/>
        <v>0</v>
      </c>
      <c r="BC189" s="542">
        <f t="shared" si="259"/>
        <v>0</v>
      </c>
      <c r="BD189" s="542">
        <f t="shared" si="259"/>
        <v>0</v>
      </c>
      <c r="BE189" s="542">
        <f t="shared" si="259"/>
        <v>0</v>
      </c>
      <c r="BF189" s="542">
        <f t="shared" si="259"/>
        <v>0</v>
      </c>
      <c r="BG189" s="542">
        <f t="shared" si="259"/>
        <v>0</v>
      </c>
      <c r="BH189" s="542">
        <f t="shared" si="259"/>
        <v>0</v>
      </c>
      <c r="BI189" s="542">
        <f t="shared" si="259"/>
        <v>0</v>
      </c>
      <c r="BJ189" s="542">
        <f t="shared" si="259"/>
        <v>0</v>
      </c>
      <c r="BK189" s="542">
        <f t="shared" si="259"/>
        <v>0</v>
      </c>
      <c r="BL189" s="542">
        <f t="shared" si="259"/>
        <v>0</v>
      </c>
      <c r="BM189" s="543">
        <f t="shared" si="259"/>
        <v>0</v>
      </c>
    </row>
    <row r="190" spans="2:95" x14ac:dyDescent="0.2">
      <c r="B190" s="57" t="s">
        <v>79</v>
      </c>
      <c r="C190" s="59" t="s">
        <v>76</v>
      </c>
      <c r="D190" s="501">
        <f t="shared" si="254"/>
        <v>0</v>
      </c>
      <c r="E190" s="1484"/>
      <c r="F190" s="1480"/>
      <c r="G190" s="1480"/>
      <c r="H190" s="1480"/>
      <c r="I190" s="1480"/>
      <c r="J190" s="1480"/>
      <c r="K190" s="1480"/>
      <c r="L190" s="1480"/>
      <c r="M190" s="1480"/>
      <c r="N190" s="1480"/>
      <c r="O190" s="1480"/>
      <c r="P190" s="1481"/>
      <c r="S190" s="255" t="s">
        <v>79</v>
      </c>
      <c r="T190" s="256" t="s">
        <v>76</v>
      </c>
      <c r="U190" s="544">
        <f>SUM(V190:AG190)</f>
        <v>0</v>
      </c>
      <c r="V190" s="519">
        <f t="shared" si="261"/>
        <v>0</v>
      </c>
      <c r="W190" s="500">
        <f t="shared" si="261"/>
        <v>0</v>
      </c>
      <c r="X190" s="500">
        <f t="shared" si="261"/>
        <v>0</v>
      </c>
      <c r="Y190" s="500">
        <f t="shared" si="261"/>
        <v>0</v>
      </c>
      <c r="Z190" s="500">
        <f t="shared" si="261"/>
        <v>0</v>
      </c>
      <c r="AA190" s="500">
        <f t="shared" si="261"/>
        <v>0</v>
      </c>
      <c r="AB190" s="500">
        <f t="shared" si="261"/>
        <v>0</v>
      </c>
      <c r="AC190" s="500">
        <f t="shared" si="261"/>
        <v>0</v>
      </c>
      <c r="AD190" s="500">
        <f t="shared" si="261"/>
        <v>0</v>
      </c>
      <c r="AE190" s="500">
        <f t="shared" si="261"/>
        <v>0</v>
      </c>
      <c r="AF190" s="500">
        <f t="shared" si="261"/>
        <v>0</v>
      </c>
      <c r="AG190" s="529">
        <f t="shared" si="261"/>
        <v>0</v>
      </c>
      <c r="AI190" s="57" t="s">
        <v>79</v>
      </c>
      <c r="AJ190" s="68" t="s">
        <v>76</v>
      </c>
      <c r="AK190" s="584">
        <f t="shared" si="257"/>
        <v>0</v>
      </c>
      <c r="AL190" s="1523"/>
      <c r="AM190" s="1517"/>
      <c r="AN190" s="1517"/>
      <c r="AO190" s="1517"/>
      <c r="AP190" s="1517"/>
      <c r="AQ190" s="1517"/>
      <c r="AR190" s="1517"/>
      <c r="AS190" s="1517"/>
      <c r="AT190" s="1517"/>
      <c r="AU190" s="1517"/>
      <c r="AV190" s="1517"/>
      <c r="AW190" s="1518"/>
      <c r="AY190" s="57" t="s">
        <v>79</v>
      </c>
      <c r="AZ190" s="59" t="s">
        <v>76</v>
      </c>
      <c r="BA190" s="544">
        <f t="shared" si="258"/>
        <v>0</v>
      </c>
      <c r="BB190" s="519">
        <f t="shared" si="260"/>
        <v>0</v>
      </c>
      <c r="BC190" s="500">
        <f t="shared" si="259"/>
        <v>0</v>
      </c>
      <c r="BD190" s="500">
        <f t="shared" si="259"/>
        <v>0</v>
      </c>
      <c r="BE190" s="500">
        <f t="shared" si="259"/>
        <v>0</v>
      </c>
      <c r="BF190" s="500">
        <f t="shared" si="259"/>
        <v>0</v>
      </c>
      <c r="BG190" s="500">
        <f t="shared" si="259"/>
        <v>0</v>
      </c>
      <c r="BH190" s="500">
        <f t="shared" si="259"/>
        <v>0</v>
      </c>
      <c r="BI190" s="500">
        <f t="shared" si="259"/>
        <v>0</v>
      </c>
      <c r="BJ190" s="500">
        <f t="shared" si="259"/>
        <v>0</v>
      </c>
      <c r="BK190" s="500">
        <f t="shared" si="259"/>
        <v>0</v>
      </c>
      <c r="BL190" s="500">
        <f t="shared" si="259"/>
        <v>0</v>
      </c>
      <c r="BM190" s="529">
        <f t="shared" si="259"/>
        <v>0</v>
      </c>
    </row>
    <row r="191" spans="2:95" x14ac:dyDescent="0.2">
      <c r="B191" s="57"/>
      <c r="C191" s="59" t="s">
        <v>77</v>
      </c>
      <c r="D191" s="501">
        <f t="shared" si="254"/>
        <v>0</v>
      </c>
      <c r="E191" s="1495"/>
      <c r="F191" s="1474"/>
      <c r="G191" s="1474"/>
      <c r="H191" s="1474"/>
      <c r="I191" s="1474"/>
      <c r="J191" s="1474"/>
      <c r="K191" s="1474"/>
      <c r="L191" s="1474"/>
      <c r="M191" s="1474"/>
      <c r="N191" s="1474"/>
      <c r="O191" s="1474"/>
      <c r="P191" s="1475"/>
      <c r="S191" s="255"/>
      <c r="T191" s="256" t="s">
        <v>77</v>
      </c>
      <c r="U191" s="452">
        <f t="shared" si="255"/>
        <v>0</v>
      </c>
      <c r="V191" s="530">
        <f>E191*'5 Kalan alkukäsittely satamassa'!$D$21</f>
        <v>0</v>
      </c>
      <c r="W191" s="524">
        <f>F191*'5 Kalan alkukäsittely satamassa'!$D$21</f>
        <v>0</v>
      </c>
      <c r="X191" s="524">
        <f>G191*'5 Kalan alkukäsittely satamassa'!$D$21</f>
        <v>0</v>
      </c>
      <c r="Y191" s="524">
        <f>H191*'5 Kalan alkukäsittely satamassa'!$D$21</f>
        <v>0</v>
      </c>
      <c r="Z191" s="524">
        <f>I191*'5 Kalan alkukäsittely satamassa'!$D$21</f>
        <v>0</v>
      </c>
      <c r="AA191" s="524">
        <f>J191*'5 Kalan alkukäsittely satamassa'!$D$21</f>
        <v>0</v>
      </c>
      <c r="AB191" s="524">
        <f>K191*'5 Kalan alkukäsittely satamassa'!$D$21</f>
        <v>0</v>
      </c>
      <c r="AC191" s="524">
        <f>L191*'5 Kalan alkukäsittely satamassa'!$D$21</f>
        <v>0</v>
      </c>
      <c r="AD191" s="524">
        <f>M191*'5 Kalan alkukäsittely satamassa'!$D$21</f>
        <v>0</v>
      </c>
      <c r="AE191" s="524">
        <f>N191*'5 Kalan alkukäsittely satamassa'!$D$21</f>
        <v>0</v>
      </c>
      <c r="AF191" s="524">
        <f>O191*'5 Kalan alkukäsittely satamassa'!$D$21</f>
        <v>0</v>
      </c>
      <c r="AG191" s="525">
        <f>P191*'5 Kalan alkukäsittely satamassa'!$D$21</f>
        <v>0</v>
      </c>
      <c r="AI191" s="57"/>
      <c r="AJ191" s="68" t="s">
        <v>77</v>
      </c>
      <c r="AK191" s="590">
        <f t="shared" si="257"/>
        <v>0</v>
      </c>
      <c r="AL191" s="1524"/>
      <c r="AM191" s="1509"/>
      <c r="AN191" s="1509"/>
      <c r="AO191" s="1509"/>
      <c r="AP191" s="1509"/>
      <c r="AQ191" s="1509"/>
      <c r="AR191" s="1509"/>
      <c r="AS191" s="1509"/>
      <c r="AT191" s="1509"/>
      <c r="AU191" s="1509"/>
      <c r="AV191" s="1509"/>
      <c r="AW191" s="1510"/>
      <c r="AY191" s="57"/>
      <c r="AZ191" s="59" t="s">
        <v>77</v>
      </c>
      <c r="BA191" s="501">
        <f t="shared" si="258"/>
        <v>0</v>
      </c>
      <c r="BB191" s="530">
        <f t="shared" si="260"/>
        <v>0</v>
      </c>
      <c r="BC191" s="524">
        <f t="shared" si="259"/>
        <v>0</v>
      </c>
      <c r="BD191" s="524">
        <f t="shared" si="259"/>
        <v>0</v>
      </c>
      <c r="BE191" s="524">
        <f t="shared" si="259"/>
        <v>0</v>
      </c>
      <c r="BF191" s="524">
        <f t="shared" si="259"/>
        <v>0</v>
      </c>
      <c r="BG191" s="524">
        <f t="shared" si="259"/>
        <v>0</v>
      </c>
      <c r="BH191" s="524">
        <f t="shared" si="259"/>
        <v>0</v>
      </c>
      <c r="BI191" s="524">
        <f t="shared" si="259"/>
        <v>0</v>
      </c>
      <c r="BJ191" s="524">
        <f t="shared" si="259"/>
        <v>0</v>
      </c>
      <c r="BK191" s="524">
        <f t="shared" si="259"/>
        <v>0</v>
      </c>
      <c r="BL191" s="524">
        <f t="shared" si="259"/>
        <v>0</v>
      </c>
      <c r="BM191" s="525">
        <f t="shared" si="259"/>
        <v>0</v>
      </c>
    </row>
    <row r="192" spans="2:95" x14ac:dyDescent="0.2">
      <c r="B192" s="57"/>
      <c r="C192" s="59" t="s">
        <v>78</v>
      </c>
      <c r="D192" s="501">
        <f t="shared" si="254"/>
        <v>0</v>
      </c>
      <c r="E192" s="1495"/>
      <c r="F192" s="1474"/>
      <c r="G192" s="1474"/>
      <c r="H192" s="1474"/>
      <c r="I192" s="1474"/>
      <c r="J192" s="1474"/>
      <c r="K192" s="1474"/>
      <c r="L192" s="1474"/>
      <c r="M192" s="1474"/>
      <c r="N192" s="1474"/>
      <c r="O192" s="1474"/>
      <c r="P192" s="1475"/>
      <c r="S192" s="255"/>
      <c r="T192" s="256" t="s">
        <v>78</v>
      </c>
      <c r="U192" s="452">
        <f t="shared" si="255"/>
        <v>0</v>
      </c>
      <c r="V192" s="530">
        <f>E192*'5 Kalan alkukäsittely satamassa'!$F$21</f>
        <v>0</v>
      </c>
      <c r="W192" s="524">
        <f>F192*'5 Kalan alkukäsittely satamassa'!$F$21</f>
        <v>0</v>
      </c>
      <c r="X192" s="524">
        <f>G192*'5 Kalan alkukäsittely satamassa'!$F$21</f>
        <v>0</v>
      </c>
      <c r="Y192" s="524">
        <f>H192*'5 Kalan alkukäsittely satamassa'!$F$21</f>
        <v>0</v>
      </c>
      <c r="Z192" s="524">
        <f>I192*'5 Kalan alkukäsittely satamassa'!$F$21</f>
        <v>0</v>
      </c>
      <c r="AA192" s="524">
        <f>J192*'5 Kalan alkukäsittely satamassa'!$F$21</f>
        <v>0</v>
      </c>
      <c r="AB192" s="524">
        <f>K192*'5 Kalan alkukäsittely satamassa'!$F$21</f>
        <v>0</v>
      </c>
      <c r="AC192" s="524">
        <f>L192*'5 Kalan alkukäsittely satamassa'!$F$21</f>
        <v>0</v>
      </c>
      <c r="AD192" s="524">
        <f>M192*'5 Kalan alkukäsittely satamassa'!$F$21</f>
        <v>0</v>
      </c>
      <c r="AE192" s="524">
        <f>N192*'5 Kalan alkukäsittely satamassa'!$F$21</f>
        <v>0</v>
      </c>
      <c r="AF192" s="524">
        <f>O192*'5 Kalan alkukäsittely satamassa'!$F$21</f>
        <v>0</v>
      </c>
      <c r="AG192" s="525">
        <f>P192*'5 Kalan alkukäsittely satamassa'!$F$21</f>
        <v>0</v>
      </c>
      <c r="AI192" s="57"/>
      <c r="AJ192" s="68" t="s">
        <v>78</v>
      </c>
      <c r="AK192" s="590">
        <f t="shared" si="257"/>
        <v>0</v>
      </c>
      <c r="AL192" s="1508"/>
      <c r="AM192" s="1509"/>
      <c r="AN192" s="1509"/>
      <c r="AO192" s="1509"/>
      <c r="AP192" s="1509"/>
      <c r="AQ192" s="1509"/>
      <c r="AR192" s="1509"/>
      <c r="AS192" s="1509"/>
      <c r="AT192" s="1509"/>
      <c r="AU192" s="1509"/>
      <c r="AV192" s="1509"/>
      <c r="AW192" s="1510"/>
      <c r="AY192" s="57"/>
      <c r="AZ192" s="59" t="s">
        <v>78</v>
      </c>
      <c r="BA192" s="501">
        <f t="shared" si="258"/>
        <v>0</v>
      </c>
      <c r="BB192" s="530">
        <f t="shared" si="260"/>
        <v>0</v>
      </c>
      <c r="BC192" s="524">
        <f t="shared" si="259"/>
        <v>0</v>
      </c>
      <c r="BD192" s="524">
        <f t="shared" si="259"/>
        <v>0</v>
      </c>
      <c r="BE192" s="524">
        <f t="shared" si="259"/>
        <v>0</v>
      </c>
      <c r="BF192" s="524">
        <f t="shared" si="259"/>
        <v>0</v>
      </c>
      <c r="BG192" s="524">
        <f t="shared" si="259"/>
        <v>0</v>
      </c>
      <c r="BH192" s="524">
        <f t="shared" si="259"/>
        <v>0</v>
      </c>
      <c r="BI192" s="524">
        <f t="shared" si="259"/>
        <v>0</v>
      </c>
      <c r="BJ192" s="524">
        <f t="shared" si="259"/>
        <v>0</v>
      </c>
      <c r="BK192" s="524">
        <f t="shared" si="259"/>
        <v>0</v>
      </c>
      <c r="BL192" s="524">
        <f t="shared" si="259"/>
        <v>0</v>
      </c>
      <c r="BM192" s="525">
        <f t="shared" si="259"/>
        <v>0</v>
      </c>
    </row>
    <row r="193" spans="2:65" ht="13.5" thickBot="1" x14ac:dyDescent="0.25">
      <c r="B193" s="40"/>
      <c r="C193" s="56" t="s">
        <v>63</v>
      </c>
      <c r="D193" s="498">
        <f t="shared" si="254"/>
        <v>0</v>
      </c>
      <c r="E193" s="1483"/>
      <c r="F193" s="1477"/>
      <c r="G193" s="1477"/>
      <c r="H193" s="1477"/>
      <c r="I193" s="1477"/>
      <c r="J193" s="1477"/>
      <c r="K193" s="1477"/>
      <c r="L193" s="1477"/>
      <c r="M193" s="1477"/>
      <c r="N193" s="1477"/>
      <c r="O193" s="1477"/>
      <c r="P193" s="1478"/>
      <c r="S193" s="258"/>
      <c r="T193" s="259" t="s">
        <v>63</v>
      </c>
      <c r="U193" s="502">
        <f>SUM(V193:AG193)</f>
        <v>0</v>
      </c>
      <c r="V193" s="515">
        <f t="shared" ref="V193:AG194" si="262">E193</f>
        <v>0</v>
      </c>
      <c r="W193" s="531">
        <f t="shared" si="262"/>
        <v>0</v>
      </c>
      <c r="X193" s="531">
        <f t="shared" si="262"/>
        <v>0</v>
      </c>
      <c r="Y193" s="531">
        <f t="shared" si="262"/>
        <v>0</v>
      </c>
      <c r="Z193" s="531">
        <f t="shared" si="262"/>
        <v>0</v>
      </c>
      <c r="AA193" s="531">
        <f t="shared" si="262"/>
        <v>0</v>
      </c>
      <c r="AB193" s="531">
        <f t="shared" si="262"/>
        <v>0</v>
      </c>
      <c r="AC193" s="531">
        <f t="shared" si="262"/>
        <v>0</v>
      </c>
      <c r="AD193" s="531">
        <f t="shared" si="262"/>
        <v>0</v>
      </c>
      <c r="AE193" s="531">
        <f t="shared" si="262"/>
        <v>0</v>
      </c>
      <c r="AF193" s="531">
        <f t="shared" si="262"/>
        <v>0</v>
      </c>
      <c r="AG193" s="532">
        <f t="shared" si="262"/>
        <v>0</v>
      </c>
      <c r="AI193" s="40"/>
      <c r="AJ193" s="76" t="s">
        <v>63</v>
      </c>
      <c r="AK193" s="585">
        <f t="shared" si="257"/>
        <v>0</v>
      </c>
      <c r="AL193" s="1525"/>
      <c r="AM193" s="1505"/>
      <c r="AN193" s="1505"/>
      <c r="AO193" s="1505"/>
      <c r="AP193" s="1505"/>
      <c r="AQ193" s="1505"/>
      <c r="AR193" s="1505"/>
      <c r="AS193" s="1505"/>
      <c r="AT193" s="1505"/>
      <c r="AU193" s="1505"/>
      <c r="AV193" s="1505"/>
      <c r="AW193" s="1506"/>
      <c r="AY193" s="40"/>
      <c r="AZ193" s="59" t="s">
        <v>63</v>
      </c>
      <c r="BA193" s="502">
        <f t="shared" si="258"/>
        <v>0</v>
      </c>
      <c r="BB193" s="515">
        <f t="shared" si="260"/>
        <v>0</v>
      </c>
      <c r="BC193" s="531">
        <f t="shared" si="259"/>
        <v>0</v>
      </c>
      <c r="BD193" s="531">
        <f t="shared" si="259"/>
        <v>0</v>
      </c>
      <c r="BE193" s="531">
        <f t="shared" si="259"/>
        <v>0</v>
      </c>
      <c r="BF193" s="531">
        <f t="shared" si="259"/>
        <v>0</v>
      </c>
      <c r="BG193" s="531">
        <f t="shared" si="259"/>
        <v>0</v>
      </c>
      <c r="BH193" s="531">
        <f t="shared" si="259"/>
        <v>0</v>
      </c>
      <c r="BI193" s="531">
        <f t="shared" si="259"/>
        <v>0</v>
      </c>
      <c r="BJ193" s="531">
        <f t="shared" si="259"/>
        <v>0</v>
      </c>
      <c r="BK193" s="531">
        <f t="shared" si="259"/>
        <v>0</v>
      </c>
      <c r="BL193" s="531">
        <f t="shared" si="259"/>
        <v>0</v>
      </c>
      <c r="BM193" s="532">
        <f t="shared" si="259"/>
        <v>0</v>
      </c>
    </row>
    <row r="194" spans="2:65" ht="13.5" thickBot="1" x14ac:dyDescent="0.25">
      <c r="B194" s="40" t="s">
        <v>80</v>
      </c>
      <c r="C194" s="1485"/>
      <c r="D194" s="452">
        <f t="shared" si="254"/>
        <v>0</v>
      </c>
      <c r="E194" s="1490"/>
      <c r="F194" s="1491"/>
      <c r="G194" s="1491"/>
      <c r="H194" s="1491"/>
      <c r="I194" s="1491"/>
      <c r="J194" s="1491"/>
      <c r="K194" s="1491"/>
      <c r="L194" s="1491"/>
      <c r="M194" s="1491"/>
      <c r="N194" s="1491"/>
      <c r="O194" s="1491"/>
      <c r="P194" s="1492"/>
      <c r="S194" s="258" t="s">
        <v>80</v>
      </c>
      <c r="T194" s="1133">
        <f>C194</f>
        <v>0</v>
      </c>
      <c r="U194" s="452">
        <f>SUM(V194:AG194)</f>
        <v>0</v>
      </c>
      <c r="V194" s="548">
        <f t="shared" si="262"/>
        <v>0</v>
      </c>
      <c r="W194" s="553">
        <f t="shared" si="262"/>
        <v>0</v>
      </c>
      <c r="X194" s="553">
        <f t="shared" si="262"/>
        <v>0</v>
      </c>
      <c r="Y194" s="553">
        <f t="shared" si="262"/>
        <v>0</v>
      </c>
      <c r="Z194" s="553">
        <f t="shared" si="262"/>
        <v>0</v>
      </c>
      <c r="AA194" s="553">
        <f t="shared" si="262"/>
        <v>0</v>
      </c>
      <c r="AB194" s="553">
        <f t="shared" si="262"/>
        <v>0</v>
      </c>
      <c r="AC194" s="553">
        <f t="shared" si="262"/>
        <v>0</v>
      </c>
      <c r="AD194" s="553">
        <f t="shared" si="262"/>
        <v>0</v>
      </c>
      <c r="AE194" s="553">
        <f t="shared" si="262"/>
        <v>0</v>
      </c>
      <c r="AF194" s="553">
        <f t="shared" si="262"/>
        <v>0</v>
      </c>
      <c r="AG194" s="554">
        <f t="shared" si="262"/>
        <v>0</v>
      </c>
      <c r="AI194" s="40" t="s">
        <v>80</v>
      </c>
      <c r="AJ194" s="1133">
        <f>T194</f>
        <v>0</v>
      </c>
      <c r="AK194" s="576">
        <f t="shared" si="257"/>
        <v>0</v>
      </c>
      <c r="AL194" s="1504"/>
      <c r="AM194" s="1505"/>
      <c r="AN194" s="1505"/>
      <c r="AO194" s="1505"/>
      <c r="AP194" s="1505"/>
      <c r="AQ194" s="1505"/>
      <c r="AR194" s="1505"/>
      <c r="AS194" s="1505"/>
      <c r="AT194" s="1505"/>
      <c r="AU194" s="1505"/>
      <c r="AV194" s="1505"/>
      <c r="AW194" s="1506"/>
      <c r="AY194" s="40" t="s">
        <v>80</v>
      </c>
      <c r="AZ194" s="1136">
        <f>AJ194</f>
        <v>0</v>
      </c>
      <c r="BA194" s="540">
        <f>SUM(BB194:BM194)</f>
        <v>0</v>
      </c>
      <c r="BB194" s="548">
        <f t="shared" si="260"/>
        <v>0</v>
      </c>
      <c r="BC194" s="553">
        <f t="shared" si="259"/>
        <v>0</v>
      </c>
      <c r="BD194" s="553">
        <f t="shared" si="259"/>
        <v>0</v>
      </c>
      <c r="BE194" s="553">
        <f t="shared" si="259"/>
        <v>0</v>
      </c>
      <c r="BF194" s="553">
        <f t="shared" si="259"/>
        <v>0</v>
      </c>
      <c r="BG194" s="553">
        <f t="shared" si="259"/>
        <v>0</v>
      </c>
      <c r="BH194" s="553">
        <f t="shared" si="259"/>
        <v>0</v>
      </c>
      <c r="BI194" s="553">
        <f t="shared" si="259"/>
        <v>0</v>
      </c>
      <c r="BJ194" s="553">
        <f t="shared" si="259"/>
        <v>0</v>
      </c>
      <c r="BK194" s="553">
        <f t="shared" si="259"/>
        <v>0</v>
      </c>
      <c r="BL194" s="553">
        <f t="shared" si="259"/>
        <v>0</v>
      </c>
      <c r="BM194" s="554">
        <f t="shared" si="259"/>
        <v>0</v>
      </c>
    </row>
    <row r="195" spans="2:65" ht="13.5" thickBot="1" x14ac:dyDescent="0.25">
      <c r="B195" s="8" t="s">
        <v>72</v>
      </c>
      <c r="C195" s="10"/>
      <c r="D195" s="416">
        <f t="shared" ref="D195:P195" si="263">D185-SUM(D186:D194)</f>
        <v>0</v>
      </c>
      <c r="E195" s="507">
        <f>E185-SUM(E186:E194)</f>
        <v>0</v>
      </c>
      <c r="F195" s="508">
        <f>F185-SUM(F186:F194)</f>
        <v>0</v>
      </c>
      <c r="G195" s="508">
        <f t="shared" si="263"/>
        <v>0</v>
      </c>
      <c r="H195" s="508">
        <f t="shared" si="263"/>
        <v>0</v>
      </c>
      <c r="I195" s="508">
        <f t="shared" si="263"/>
        <v>0</v>
      </c>
      <c r="J195" s="508">
        <f>J185-SUM(J186:J194)</f>
        <v>0</v>
      </c>
      <c r="K195" s="508">
        <f t="shared" si="263"/>
        <v>0</v>
      </c>
      <c r="L195" s="508">
        <f t="shared" si="263"/>
        <v>0</v>
      </c>
      <c r="M195" s="508">
        <f t="shared" si="263"/>
        <v>0</v>
      </c>
      <c r="N195" s="508">
        <f t="shared" si="263"/>
        <v>0</v>
      </c>
      <c r="O195" s="508">
        <f t="shared" si="263"/>
        <v>0</v>
      </c>
      <c r="P195" s="497">
        <f t="shared" si="263"/>
        <v>0</v>
      </c>
      <c r="S195" s="258" t="s">
        <v>113</v>
      </c>
      <c r="T195" s="265"/>
      <c r="U195" s="416">
        <f>SUM(U186:U194)</f>
        <v>0</v>
      </c>
      <c r="V195" s="548">
        <f t="shared" ref="V195:AG195" si="264">SUM(V186:V194)</f>
        <v>0</v>
      </c>
      <c r="W195" s="553">
        <f t="shared" si="264"/>
        <v>0</v>
      </c>
      <c r="X195" s="553">
        <f t="shared" si="264"/>
        <v>0</v>
      </c>
      <c r="Y195" s="553">
        <f t="shared" si="264"/>
        <v>0</v>
      </c>
      <c r="Z195" s="553">
        <f t="shared" si="264"/>
        <v>0</v>
      </c>
      <c r="AA195" s="553">
        <f t="shared" si="264"/>
        <v>0</v>
      </c>
      <c r="AB195" s="553">
        <f t="shared" si="264"/>
        <v>0</v>
      </c>
      <c r="AC195" s="553">
        <f t="shared" si="264"/>
        <v>0</v>
      </c>
      <c r="AD195" s="553">
        <f t="shared" si="264"/>
        <v>0</v>
      </c>
      <c r="AE195" s="553">
        <f t="shared" si="264"/>
        <v>0</v>
      </c>
      <c r="AF195" s="553">
        <f t="shared" si="264"/>
        <v>0</v>
      </c>
      <c r="AG195" s="539">
        <f t="shared" si="264"/>
        <v>0</v>
      </c>
      <c r="AI195" s="40" t="s">
        <v>99</v>
      </c>
      <c r="AJ195" s="10"/>
      <c r="AK195" s="586">
        <f t="shared" ref="AK195:AV195" si="265">IF(BA185=0,0,BA195/BA185)</f>
        <v>0</v>
      </c>
      <c r="AL195" s="580">
        <f t="shared" si="265"/>
        <v>0</v>
      </c>
      <c r="AM195" s="581">
        <f t="shared" si="265"/>
        <v>0</v>
      </c>
      <c r="AN195" s="581">
        <f t="shared" si="265"/>
        <v>0</v>
      </c>
      <c r="AO195" s="581">
        <f t="shared" si="265"/>
        <v>0</v>
      </c>
      <c r="AP195" s="581">
        <f t="shared" si="265"/>
        <v>0</v>
      </c>
      <c r="AQ195" s="581">
        <f t="shared" si="265"/>
        <v>0</v>
      </c>
      <c r="AR195" s="581">
        <f t="shared" si="265"/>
        <v>0</v>
      </c>
      <c r="AS195" s="581">
        <f t="shared" si="265"/>
        <v>0</v>
      </c>
      <c r="AT195" s="581">
        <f t="shared" si="265"/>
        <v>0</v>
      </c>
      <c r="AU195" s="581">
        <f t="shared" si="265"/>
        <v>0</v>
      </c>
      <c r="AV195" s="581">
        <f t="shared" si="265"/>
        <v>0</v>
      </c>
      <c r="AW195" s="582">
        <f>IF(BM185=0,0,BM195/BM185)</f>
        <v>0</v>
      </c>
      <c r="AY195" s="40" t="s">
        <v>98</v>
      </c>
      <c r="AZ195" s="10"/>
      <c r="BA195" s="416">
        <f>SUM(BA186:BA194)</f>
        <v>0</v>
      </c>
      <c r="BB195" s="549">
        <f t="shared" ref="BB195:BM195" si="266">SUM(BB186:BB194)</f>
        <v>0</v>
      </c>
      <c r="BC195" s="553">
        <f t="shared" si="266"/>
        <v>0</v>
      </c>
      <c r="BD195" s="553">
        <f t="shared" si="266"/>
        <v>0</v>
      </c>
      <c r="BE195" s="553">
        <f t="shared" si="266"/>
        <v>0</v>
      </c>
      <c r="BF195" s="553">
        <f t="shared" si="266"/>
        <v>0</v>
      </c>
      <c r="BG195" s="553">
        <f t="shared" si="266"/>
        <v>0</v>
      </c>
      <c r="BH195" s="553">
        <f t="shared" si="266"/>
        <v>0</v>
      </c>
      <c r="BI195" s="553">
        <f t="shared" si="266"/>
        <v>0</v>
      </c>
      <c r="BJ195" s="553">
        <f t="shared" si="266"/>
        <v>0</v>
      </c>
      <c r="BK195" s="553">
        <f t="shared" si="266"/>
        <v>0</v>
      </c>
      <c r="BL195" s="553">
        <f>SUM(BL186:BL194)</f>
        <v>0</v>
      </c>
      <c r="BM195" s="554">
        <f t="shared" si="266"/>
        <v>0</v>
      </c>
    </row>
    <row r="196" spans="2:65" x14ac:dyDescent="0.2">
      <c r="E196" s="794" t="str">
        <f>IF(E195&lt;0,"Ylimyynti!!!","")</f>
        <v/>
      </c>
      <c r="F196" s="794" t="str">
        <f t="shared" ref="F196:P196" si="267">IF(F195&lt;0,"Ylimyynti!!!","")</f>
        <v/>
      </c>
      <c r="G196" s="794" t="str">
        <f t="shared" si="267"/>
        <v/>
      </c>
      <c r="H196" s="794" t="str">
        <f t="shared" si="267"/>
        <v/>
      </c>
      <c r="I196" s="794" t="str">
        <f t="shared" si="267"/>
        <v/>
      </c>
      <c r="J196" s="794" t="str">
        <f t="shared" si="267"/>
        <v/>
      </c>
      <c r="K196" s="794" t="str">
        <f t="shared" si="267"/>
        <v/>
      </c>
      <c r="L196" s="794" t="str">
        <f t="shared" si="267"/>
        <v/>
      </c>
      <c r="M196" s="794" t="str">
        <f t="shared" si="267"/>
        <v/>
      </c>
      <c r="N196" s="794" t="str">
        <f t="shared" si="267"/>
        <v/>
      </c>
      <c r="O196" s="794" t="str">
        <f t="shared" si="267"/>
        <v/>
      </c>
      <c r="P196" s="794" t="str">
        <f t="shared" si="267"/>
        <v/>
      </c>
    </row>
  </sheetData>
  <sheetProtection password="C576" sheet="1" objects="1" scenarios="1"/>
  <mergeCells count="8">
    <mergeCell ref="CQ170:CQ171"/>
    <mergeCell ref="AI2:AL2"/>
    <mergeCell ref="CL170:CL171"/>
    <mergeCell ref="CM170:CM171"/>
    <mergeCell ref="CN170:CN171"/>
    <mergeCell ref="CO170:CO171"/>
    <mergeCell ref="CP170:CP171"/>
    <mergeCell ref="AY2:BA2"/>
  </mergeCells>
  <phoneticPr fontId="0" type="noConversion"/>
  <pageMargins left="0.74803149606299213" right="0.74803149606299213" top="0.98425196850393704" bottom="0.98425196850393704" header="0.51181102362204722" footer="0.51181102362204722"/>
  <pageSetup paperSize="9" scale="46" orientation="portrait" r:id="rId1"/>
  <headerFooter alignWithMargins="0"/>
  <ignoredErrors>
    <ignoredError sqref="U43 U53 U65 U78 U116 U132 V139:V140 U141:AG142 U139 W139:AG139 U156 U170 U180 U194 U140 W140:AG140 U104" formula="1"/>
  </ignoredErrors>
  <drawing r:id="rId2"/>
  <legacyDrawing r:id="rId3"/>
  <picture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EW94"/>
  <sheetViews>
    <sheetView showGridLines="0" zoomScale="95" zoomScaleNormal="95" zoomScalePageLayoutView="75" workbookViewId="0">
      <selection activeCell="G43" sqref="G43"/>
    </sheetView>
  </sheetViews>
  <sheetFormatPr defaultRowHeight="12.75" x14ac:dyDescent="0.2"/>
  <cols>
    <col min="1" max="1" width="2.7109375" customWidth="1"/>
    <col min="2" max="2" width="27.140625" customWidth="1"/>
    <col min="3" max="3" width="14.7109375" customWidth="1"/>
    <col min="4" max="4" width="13.5703125" customWidth="1"/>
    <col min="5" max="5" width="14.28515625" customWidth="1"/>
    <col min="6" max="6" width="13.85546875" customWidth="1"/>
    <col min="7" max="7" width="14.42578125" customWidth="1"/>
    <col min="8" max="8" width="3.140625" customWidth="1"/>
    <col min="9" max="9" width="0.7109375" customWidth="1"/>
    <col min="10" max="10" width="3.28515625" customWidth="1"/>
    <col min="11" max="11" width="11.28515625" customWidth="1"/>
    <col min="12" max="12" width="9.7109375" customWidth="1"/>
    <col min="17" max="17" width="9" customWidth="1"/>
    <col min="26" max="26" width="2.5703125" customWidth="1"/>
    <col min="27" max="27" width="11.85546875" customWidth="1"/>
    <col min="28" max="28" width="7.28515625" customWidth="1"/>
    <col min="29" max="40" width="9.140625" style="106"/>
    <col min="41" max="41" width="9.140625" style="106" customWidth="1"/>
    <col min="42" max="42" width="2.7109375" customWidth="1"/>
    <col min="43" max="43" width="11.7109375" customWidth="1"/>
    <col min="44" max="44" width="8.28515625" customWidth="1"/>
    <col min="46" max="57" width="9.140625" style="106"/>
    <col min="58" max="58" width="2.7109375" customWidth="1"/>
    <col min="60" max="60" width="9.5703125" customWidth="1"/>
    <col min="61" max="73" width="9.140625" style="106"/>
    <col min="74" max="74" width="2.7109375" style="106" customWidth="1"/>
    <col min="75" max="75" width="9.140625" style="106"/>
    <col min="76" max="76" width="9.85546875" style="106" customWidth="1"/>
    <col min="77" max="89" width="9.140625" style="106"/>
    <col min="90" max="90" width="2.7109375" style="106" customWidth="1"/>
    <col min="91" max="91" width="9.140625" style="106"/>
    <col min="92" max="92" width="9.7109375" style="106" customWidth="1"/>
    <col min="93" max="104" width="9.140625" style="106"/>
    <col min="105" max="105" width="9.140625" style="106" customWidth="1"/>
    <col min="106" max="106" width="2.7109375" customWidth="1"/>
    <col min="108" max="108" width="9.7109375" customWidth="1"/>
    <col min="122" max="122" width="2.7109375" customWidth="1"/>
    <col min="124" max="124" width="9.85546875" customWidth="1"/>
    <col min="138" max="138" width="2.7109375" customWidth="1"/>
    <col min="140" max="140" width="9.5703125" customWidth="1"/>
  </cols>
  <sheetData>
    <row r="1" spans="2:153" ht="13.5" thickBot="1" x14ac:dyDescent="0.25">
      <c r="I1" s="15"/>
    </row>
    <row r="2" spans="2:153" ht="24" thickBot="1" x14ac:dyDescent="0.4">
      <c r="B2" s="1629" t="s">
        <v>186</v>
      </c>
      <c r="C2" s="1630"/>
      <c r="D2" s="1630"/>
      <c r="E2" s="1630"/>
      <c r="F2" s="1630"/>
      <c r="G2" s="1631"/>
      <c r="H2" s="39"/>
      <c r="I2" s="201"/>
      <c r="K2" s="1629" t="s">
        <v>377</v>
      </c>
      <c r="L2" s="1630"/>
      <c r="M2" s="1630"/>
      <c r="N2" s="1630"/>
      <c r="O2" s="1630"/>
      <c r="P2" s="1630"/>
      <c r="Q2" s="1631"/>
      <c r="R2" s="120"/>
      <c r="S2" s="120"/>
      <c r="BW2" s="106" t="s">
        <v>1</v>
      </c>
    </row>
    <row r="3" spans="2:153" ht="13.5" thickBot="1" x14ac:dyDescent="0.25">
      <c r="I3" s="15"/>
    </row>
    <row r="4" spans="2:153" ht="16.5" customHeight="1" thickBot="1" x14ac:dyDescent="0.25">
      <c r="I4" s="15"/>
      <c r="K4" s="1141"/>
      <c r="L4" s="1141"/>
      <c r="M4" s="1141"/>
      <c r="N4" s="1141"/>
      <c r="O4" s="1141"/>
      <c r="P4" s="1141"/>
      <c r="Q4" s="1141"/>
      <c r="R4" s="1141"/>
      <c r="S4" s="1141"/>
      <c r="T4" s="1141"/>
      <c r="U4" s="1141"/>
      <c r="V4" s="1141"/>
      <c r="W4" s="1141"/>
      <c r="X4" s="1141"/>
      <c r="Y4" s="1141"/>
      <c r="Z4" s="1141"/>
      <c r="AA4" s="1141"/>
      <c r="AB4" s="1141"/>
      <c r="AC4" s="1140"/>
      <c r="AD4" s="1140"/>
      <c r="AE4" s="1140"/>
      <c r="AF4" s="1140"/>
      <c r="AG4" s="1140"/>
      <c r="AH4" s="1140"/>
      <c r="AI4" s="1140"/>
      <c r="AJ4" s="1140"/>
      <c r="AK4" s="1140"/>
      <c r="AL4" s="1140"/>
      <c r="AM4" s="1140"/>
      <c r="AN4" s="1140"/>
      <c r="AO4" s="1140"/>
      <c r="AP4" s="1141"/>
      <c r="AQ4" s="1137" t="s">
        <v>187</v>
      </c>
      <c r="AR4" s="1138"/>
      <c r="AS4" s="1139"/>
      <c r="AT4" s="1140"/>
      <c r="AU4" s="1140"/>
      <c r="AV4" s="1140"/>
      <c r="AW4" s="1140"/>
      <c r="AX4" s="1140"/>
      <c r="AY4" s="1140"/>
      <c r="AZ4" s="1140"/>
      <c r="BA4" s="1140"/>
      <c r="BB4" s="1140"/>
      <c r="BC4" s="1140"/>
      <c r="BD4" s="1140"/>
      <c r="BE4" s="1140"/>
      <c r="BF4" s="1141"/>
      <c r="BG4" s="1137" t="str">
        <f>'4 Myynti'!CL162</f>
        <v>Verkko1</v>
      </c>
      <c r="BH4" s="1138"/>
      <c r="BI4" s="1139"/>
      <c r="BJ4" s="1140"/>
      <c r="BK4" s="1140"/>
      <c r="BL4" s="1140"/>
      <c r="BM4" s="1140"/>
      <c r="BN4" s="1140"/>
      <c r="BO4" s="1140"/>
      <c r="BP4" s="1140"/>
      <c r="BQ4" s="1140"/>
      <c r="BR4" s="1140"/>
      <c r="BS4" s="1140"/>
      <c r="BT4" s="1140"/>
      <c r="BU4" s="1140"/>
      <c r="BV4" s="1140"/>
      <c r="BW4" s="1137" t="str">
        <f>'4 Myynti'!CL163</f>
        <v>Verkko2</v>
      </c>
      <c r="BX4" s="1138"/>
      <c r="BY4" s="1139"/>
      <c r="BZ4" s="1140"/>
      <c r="CA4" s="1140"/>
      <c r="CB4" s="1140"/>
      <c r="CC4" s="1140"/>
      <c r="CD4" s="1140"/>
      <c r="CE4" s="1140"/>
      <c r="CF4" s="1140"/>
      <c r="CG4" s="1140"/>
      <c r="CH4" s="1140"/>
      <c r="CI4" s="1140"/>
      <c r="CJ4" s="1140"/>
      <c r="CK4" s="1140"/>
      <c r="CL4" s="1140"/>
      <c r="CM4" s="1137" t="str">
        <f>'4 Myynti'!CL164</f>
        <v>Isorysä1</v>
      </c>
      <c r="CN4" s="1142"/>
      <c r="CO4" s="1143"/>
      <c r="CP4" s="1140"/>
      <c r="CQ4" s="1140"/>
      <c r="CR4" s="1140"/>
      <c r="CS4" s="1140"/>
      <c r="CT4" s="1140"/>
      <c r="CU4" s="1140"/>
      <c r="CV4" s="1140"/>
      <c r="CW4" s="1140"/>
      <c r="CX4" s="1140"/>
      <c r="CY4" s="1140"/>
      <c r="CZ4" s="1140"/>
      <c r="DA4" s="1140"/>
      <c r="DB4" s="1141"/>
      <c r="DC4" s="1137" t="str">
        <f>'4 Myynti'!CL165</f>
        <v>Isorysä2</v>
      </c>
      <c r="DD4" s="1138"/>
      <c r="DE4" s="1139"/>
      <c r="DF4" s="1140"/>
      <c r="DG4" s="1140"/>
      <c r="DH4" s="1140"/>
      <c r="DI4" s="1140"/>
      <c r="DJ4" s="1140"/>
      <c r="DK4" s="1140"/>
      <c r="DL4" s="1140"/>
      <c r="DM4" s="1140"/>
      <c r="DN4" s="1140"/>
      <c r="DO4" s="1140"/>
      <c r="DP4" s="1140"/>
      <c r="DQ4" s="1140"/>
      <c r="DR4" s="1141"/>
      <c r="DS4" s="1144" t="str">
        <f>'4 Myynti'!CL166</f>
        <v>PU-rysä1</v>
      </c>
      <c r="DT4" s="1145"/>
      <c r="DU4" s="1143"/>
      <c r="DV4" s="1140"/>
      <c r="DW4" s="1140"/>
      <c r="DX4" s="1140"/>
      <c r="DY4" s="1140"/>
      <c r="DZ4" s="1140"/>
      <c r="EA4" s="1140"/>
      <c r="EB4" s="1140"/>
      <c r="EC4" s="1140"/>
      <c r="ED4" s="1140"/>
      <c r="EE4" s="1140"/>
      <c r="EF4" s="1140"/>
      <c r="EG4" s="1140"/>
      <c r="EH4" s="1141"/>
      <c r="EI4" s="1144" t="str">
        <f>'4 Myynti'!CL167</f>
        <v>PU-rysä2</v>
      </c>
      <c r="EJ4" s="1145"/>
      <c r="EK4" s="1143"/>
      <c r="EL4" s="1140"/>
      <c r="EM4" s="1140"/>
      <c r="EN4" s="1140"/>
      <c r="EO4" s="1140"/>
      <c r="EP4" s="1140"/>
      <c r="EQ4" s="1140"/>
      <c r="ER4" s="1140"/>
      <c r="ES4" s="1140"/>
      <c r="ET4" s="1140"/>
      <c r="EU4" s="1140"/>
      <c r="EV4" s="1140"/>
      <c r="EW4" s="1140"/>
    </row>
    <row r="5" spans="2:153" ht="15.75" customHeight="1" thickBot="1" x14ac:dyDescent="0.25">
      <c r="B5" s="94" t="s">
        <v>172</v>
      </c>
      <c r="C5" s="354"/>
      <c r="D5" s="81" t="s">
        <v>110</v>
      </c>
      <c r="E5" s="51" t="s">
        <v>114</v>
      </c>
      <c r="F5" s="51" t="s">
        <v>111</v>
      </c>
      <c r="G5" s="131"/>
      <c r="H5" s="131"/>
      <c r="I5" s="202"/>
      <c r="K5" s="1137" t="s">
        <v>547</v>
      </c>
      <c r="L5" s="1142"/>
      <c r="M5" s="1142"/>
      <c r="N5" s="1142"/>
      <c r="O5" s="1142"/>
      <c r="P5" s="1142"/>
      <c r="Q5" s="1142"/>
      <c r="R5" s="1142"/>
      <c r="S5" s="1142"/>
      <c r="T5" s="1142"/>
      <c r="U5" s="1142"/>
      <c r="V5" s="1142"/>
      <c r="W5" s="1142"/>
      <c r="X5" s="1142"/>
      <c r="Y5" s="1146"/>
      <c r="Z5" s="1141"/>
      <c r="AA5" s="1137" t="s">
        <v>518</v>
      </c>
      <c r="AB5" s="1142"/>
      <c r="AC5" s="1145"/>
      <c r="AD5" s="1145"/>
      <c r="AE5" s="1145"/>
      <c r="AF5" s="1145"/>
      <c r="AG5" s="1145"/>
      <c r="AH5" s="1145"/>
      <c r="AI5" s="1145"/>
      <c r="AJ5" s="1145"/>
      <c r="AK5" s="1145"/>
      <c r="AL5" s="1145"/>
      <c r="AM5" s="1145"/>
      <c r="AN5" s="1145"/>
      <c r="AO5" s="1143"/>
      <c r="AP5" s="1141"/>
      <c r="AQ5" s="1137" t="s">
        <v>185</v>
      </c>
      <c r="AR5" s="1142"/>
      <c r="AS5" s="1145"/>
      <c r="AT5" s="1145"/>
      <c r="AU5" s="1145"/>
      <c r="AV5" s="1145"/>
      <c r="AW5" s="1145"/>
      <c r="AX5" s="1145"/>
      <c r="AY5" s="1145"/>
      <c r="AZ5" s="1145"/>
      <c r="BA5" s="1145"/>
      <c r="BB5" s="1145"/>
      <c r="BC5" s="1145"/>
      <c r="BD5" s="1145"/>
      <c r="BE5" s="1143"/>
      <c r="BF5" s="1141"/>
      <c r="BG5" s="1137" t="s">
        <v>185</v>
      </c>
      <c r="BH5" s="1142"/>
      <c r="BI5" s="1145"/>
      <c r="BJ5" s="1145"/>
      <c r="BK5" s="1145"/>
      <c r="BL5" s="1145"/>
      <c r="BM5" s="1145"/>
      <c r="BN5" s="1145"/>
      <c r="BO5" s="1145"/>
      <c r="BP5" s="1145"/>
      <c r="BQ5" s="1145"/>
      <c r="BR5" s="1145"/>
      <c r="BS5" s="1145"/>
      <c r="BT5" s="1145"/>
      <c r="BU5" s="1143"/>
      <c r="BV5" s="1140"/>
      <c r="BW5" s="1137" t="s">
        <v>185</v>
      </c>
      <c r="BX5" s="1142"/>
      <c r="BY5" s="1145"/>
      <c r="BZ5" s="1145"/>
      <c r="CA5" s="1145"/>
      <c r="CB5" s="1145"/>
      <c r="CC5" s="1145"/>
      <c r="CD5" s="1145"/>
      <c r="CE5" s="1145"/>
      <c r="CF5" s="1145"/>
      <c r="CG5" s="1145"/>
      <c r="CH5" s="1145"/>
      <c r="CI5" s="1145"/>
      <c r="CJ5" s="1145"/>
      <c r="CK5" s="1143"/>
      <c r="CL5" s="1140"/>
      <c r="CM5" s="1137" t="s">
        <v>185</v>
      </c>
      <c r="CN5" s="1142"/>
      <c r="CO5" s="1145"/>
      <c r="CP5" s="1145"/>
      <c r="CQ5" s="1145"/>
      <c r="CR5" s="1145"/>
      <c r="CS5" s="1145"/>
      <c r="CT5" s="1145"/>
      <c r="CU5" s="1145"/>
      <c r="CV5" s="1145"/>
      <c r="CW5" s="1145"/>
      <c r="CX5" s="1145"/>
      <c r="CY5" s="1145"/>
      <c r="CZ5" s="1145"/>
      <c r="DA5" s="1143"/>
      <c r="DB5" s="1141"/>
      <c r="DC5" s="1137" t="s">
        <v>185</v>
      </c>
      <c r="DD5" s="1142"/>
      <c r="DE5" s="1145"/>
      <c r="DF5" s="1145"/>
      <c r="DG5" s="1145"/>
      <c r="DH5" s="1145"/>
      <c r="DI5" s="1145"/>
      <c r="DJ5" s="1145"/>
      <c r="DK5" s="1145"/>
      <c r="DL5" s="1145"/>
      <c r="DM5" s="1145"/>
      <c r="DN5" s="1145"/>
      <c r="DO5" s="1145"/>
      <c r="DP5" s="1145"/>
      <c r="DQ5" s="1143"/>
      <c r="DR5" s="1141"/>
      <c r="DS5" s="1137" t="s">
        <v>185</v>
      </c>
      <c r="DT5" s="1142"/>
      <c r="DU5" s="1145"/>
      <c r="DV5" s="1145"/>
      <c r="DW5" s="1145"/>
      <c r="DX5" s="1145"/>
      <c r="DY5" s="1145"/>
      <c r="DZ5" s="1145"/>
      <c r="EA5" s="1145"/>
      <c r="EB5" s="1145"/>
      <c r="EC5" s="1145"/>
      <c r="ED5" s="1145"/>
      <c r="EE5" s="1145"/>
      <c r="EF5" s="1145"/>
      <c r="EG5" s="1143"/>
      <c r="EH5" s="1141"/>
      <c r="EI5" s="1137" t="s">
        <v>185</v>
      </c>
      <c r="EJ5" s="1142"/>
      <c r="EK5" s="1145"/>
      <c r="EL5" s="1145"/>
      <c r="EM5" s="1145"/>
      <c r="EN5" s="1145"/>
      <c r="EO5" s="1145"/>
      <c r="EP5" s="1145"/>
      <c r="EQ5" s="1145"/>
      <c r="ER5" s="1145"/>
      <c r="ES5" s="1145"/>
      <c r="ET5" s="1145"/>
      <c r="EU5" s="1145"/>
      <c r="EV5" s="1145"/>
      <c r="EW5" s="1143"/>
    </row>
    <row r="6" spans="2:153" ht="13.5" thickBot="1" x14ac:dyDescent="0.25">
      <c r="B6" s="102" t="s">
        <v>1</v>
      </c>
      <c r="C6" s="366"/>
      <c r="D6" s="29"/>
      <c r="E6" s="122"/>
      <c r="F6" s="50"/>
      <c r="G6" s="131"/>
      <c r="H6" s="131"/>
      <c r="I6" s="202"/>
      <c r="K6" s="5" t="s">
        <v>74</v>
      </c>
      <c r="L6" s="36"/>
      <c r="M6" s="136" t="str">
        <f>'4 Myynti'!D22</f>
        <v>Koko</v>
      </c>
      <c r="N6" s="47">
        <f>'4 Myynti'!E22</f>
        <v>0</v>
      </c>
      <c r="O6" s="48">
        <f>'4 Myynti'!F22</f>
        <v>0</v>
      </c>
      <c r="P6" s="48">
        <f>'4 Myynti'!G22</f>
        <v>0</v>
      </c>
      <c r="Q6" s="48">
        <f>'4 Myynti'!H22</f>
        <v>0</v>
      </c>
      <c r="R6" s="48">
        <f>'4 Myynti'!I22</f>
        <v>0</v>
      </c>
      <c r="S6" s="41" t="str">
        <f>'4 Myynti'!J22</f>
        <v>Kuukausittain</v>
      </c>
      <c r="T6" s="48"/>
      <c r="U6" s="48">
        <f>'4 Myynti'!L22</f>
        <v>0</v>
      </c>
      <c r="V6" s="48">
        <f>'4 Myynti'!M22</f>
        <v>0</v>
      </c>
      <c r="W6" s="48">
        <f>'4 Myynti'!N22</f>
        <v>0</v>
      </c>
      <c r="X6" s="48">
        <f>'4 Myynti'!O22</f>
        <v>0</v>
      </c>
      <c r="Y6" s="49">
        <f>'4 Myynti'!P22</f>
        <v>0</v>
      </c>
      <c r="AA6" s="5" t="s">
        <v>74</v>
      </c>
      <c r="AB6" s="36"/>
      <c r="AC6" s="136" t="s">
        <v>40</v>
      </c>
      <c r="AD6" s="137">
        <v>0</v>
      </c>
      <c r="AE6" s="138">
        <v>0</v>
      </c>
      <c r="AF6" s="138">
        <v>0</v>
      </c>
      <c r="AG6" s="138">
        <v>0</v>
      </c>
      <c r="AH6" s="138">
        <v>0</v>
      </c>
      <c r="AI6" s="139" t="s">
        <v>42</v>
      </c>
      <c r="AJ6" s="138"/>
      <c r="AK6" s="138">
        <v>0</v>
      </c>
      <c r="AL6" s="138">
        <v>0</v>
      </c>
      <c r="AM6" s="138">
        <v>0</v>
      </c>
      <c r="AN6" s="138">
        <v>0</v>
      </c>
      <c r="AO6" s="140">
        <v>0</v>
      </c>
      <c r="AQ6" s="5" t="s">
        <v>74</v>
      </c>
      <c r="AR6" s="36"/>
      <c r="AS6" s="136" t="s">
        <v>40</v>
      </c>
      <c r="AT6" s="137">
        <v>0</v>
      </c>
      <c r="AU6" s="138">
        <v>0</v>
      </c>
      <c r="AV6" s="138">
        <v>0</v>
      </c>
      <c r="AW6" s="138">
        <v>0</v>
      </c>
      <c r="AX6" s="138">
        <v>0</v>
      </c>
      <c r="AY6" s="139" t="s">
        <v>42</v>
      </c>
      <c r="AZ6" s="138"/>
      <c r="BA6" s="138">
        <v>0</v>
      </c>
      <c r="BB6" s="138">
        <v>0</v>
      </c>
      <c r="BC6" s="138">
        <v>0</v>
      </c>
      <c r="BD6" s="138">
        <v>0</v>
      </c>
      <c r="BE6" s="140">
        <v>0</v>
      </c>
      <c r="BG6" s="5" t="s">
        <v>74</v>
      </c>
      <c r="BH6" s="36"/>
      <c r="BI6" s="136" t="s">
        <v>40</v>
      </c>
      <c r="BJ6" s="137">
        <v>0</v>
      </c>
      <c r="BK6" s="138">
        <v>0</v>
      </c>
      <c r="BL6" s="138">
        <v>0</v>
      </c>
      <c r="BM6" s="138">
        <v>0</v>
      </c>
      <c r="BN6" s="138">
        <v>0</v>
      </c>
      <c r="BO6" s="139" t="s">
        <v>42</v>
      </c>
      <c r="BP6" s="138"/>
      <c r="BQ6" s="138">
        <v>0</v>
      </c>
      <c r="BR6" s="138">
        <v>0</v>
      </c>
      <c r="BS6" s="138">
        <v>0</v>
      </c>
      <c r="BT6" s="138">
        <v>0</v>
      </c>
      <c r="BU6" s="140">
        <v>0</v>
      </c>
      <c r="BW6" s="5" t="s">
        <v>74</v>
      </c>
      <c r="BX6" s="36"/>
      <c r="BY6" s="136" t="s">
        <v>40</v>
      </c>
      <c r="BZ6" s="137">
        <v>0</v>
      </c>
      <c r="CA6" s="138">
        <v>0</v>
      </c>
      <c r="CB6" s="138">
        <v>0</v>
      </c>
      <c r="CC6" s="138">
        <v>0</v>
      </c>
      <c r="CD6" s="138">
        <v>0</v>
      </c>
      <c r="CE6" s="139" t="s">
        <v>42</v>
      </c>
      <c r="CF6" s="138"/>
      <c r="CG6" s="138">
        <v>0</v>
      </c>
      <c r="CH6" s="138">
        <v>0</v>
      </c>
      <c r="CI6" s="138">
        <v>0</v>
      </c>
      <c r="CJ6" s="138">
        <v>0</v>
      </c>
      <c r="CK6" s="140">
        <v>0</v>
      </c>
      <c r="CM6" s="5" t="s">
        <v>74</v>
      </c>
      <c r="CN6" s="36"/>
      <c r="CO6" s="136" t="s">
        <v>40</v>
      </c>
      <c r="CP6" s="137">
        <v>0</v>
      </c>
      <c r="CQ6" s="138">
        <v>0</v>
      </c>
      <c r="CR6" s="138">
        <v>0</v>
      </c>
      <c r="CS6" s="138">
        <v>0</v>
      </c>
      <c r="CT6" s="138">
        <v>0</v>
      </c>
      <c r="CU6" s="139" t="s">
        <v>42</v>
      </c>
      <c r="CV6" s="138"/>
      <c r="CW6" s="138">
        <v>0</v>
      </c>
      <c r="CX6" s="138">
        <v>0</v>
      </c>
      <c r="CY6" s="138">
        <v>0</v>
      </c>
      <c r="CZ6" s="138">
        <v>0</v>
      </c>
      <c r="DA6" s="140">
        <v>0</v>
      </c>
      <c r="DC6" s="5" t="s">
        <v>74</v>
      </c>
      <c r="DD6" s="36"/>
      <c r="DE6" s="136" t="s">
        <v>40</v>
      </c>
      <c r="DF6" s="137">
        <v>0</v>
      </c>
      <c r="DG6" s="138">
        <v>0</v>
      </c>
      <c r="DH6" s="138">
        <v>0</v>
      </c>
      <c r="DI6" s="138">
        <v>0</v>
      </c>
      <c r="DJ6" s="138">
        <v>0</v>
      </c>
      <c r="DK6" s="139" t="s">
        <v>42</v>
      </c>
      <c r="DL6" s="138"/>
      <c r="DM6" s="138">
        <v>0</v>
      </c>
      <c r="DN6" s="138">
        <v>0</v>
      </c>
      <c r="DO6" s="138">
        <v>0</v>
      </c>
      <c r="DP6" s="138">
        <v>0</v>
      </c>
      <c r="DQ6" s="140">
        <v>0</v>
      </c>
      <c r="DS6" s="5" t="s">
        <v>74</v>
      </c>
      <c r="DT6" s="36"/>
      <c r="DU6" s="136" t="s">
        <v>40</v>
      </c>
      <c r="DV6" s="137">
        <v>0</v>
      </c>
      <c r="DW6" s="138">
        <v>0</v>
      </c>
      <c r="DX6" s="138">
        <v>0</v>
      </c>
      <c r="DY6" s="138">
        <v>0</v>
      </c>
      <c r="DZ6" s="138">
        <v>0</v>
      </c>
      <c r="EA6" s="139" t="s">
        <v>42</v>
      </c>
      <c r="EB6" s="138"/>
      <c r="EC6" s="138">
        <v>0</v>
      </c>
      <c r="ED6" s="138">
        <v>0</v>
      </c>
      <c r="EE6" s="138">
        <v>0</v>
      </c>
      <c r="EF6" s="138">
        <v>0</v>
      </c>
      <c r="EG6" s="140">
        <v>0</v>
      </c>
      <c r="EI6" s="5" t="s">
        <v>74</v>
      </c>
      <c r="EJ6" s="36"/>
      <c r="EK6" s="136" t="s">
        <v>40</v>
      </c>
      <c r="EL6" s="137">
        <v>0</v>
      </c>
      <c r="EM6" s="138">
        <v>0</v>
      </c>
      <c r="EN6" s="138">
        <v>0</v>
      </c>
      <c r="EO6" s="138">
        <v>0</v>
      </c>
      <c r="EP6" s="138">
        <v>0</v>
      </c>
      <c r="EQ6" s="139" t="s">
        <v>42</v>
      </c>
      <c r="ER6" s="138"/>
      <c r="ES6" s="138">
        <v>0</v>
      </c>
      <c r="ET6" s="138">
        <v>0</v>
      </c>
      <c r="EU6" s="138">
        <v>0</v>
      </c>
      <c r="EV6" s="138">
        <v>0</v>
      </c>
      <c r="EW6" s="140">
        <v>0</v>
      </c>
    </row>
    <row r="7" spans="2:153" ht="13.5" thickBot="1" x14ac:dyDescent="0.25">
      <c r="B7" s="5" t="s">
        <v>100</v>
      </c>
      <c r="C7" s="36"/>
      <c r="D7" s="124"/>
      <c r="E7" s="124"/>
      <c r="F7" s="124"/>
      <c r="I7" s="15"/>
      <c r="K7" s="57"/>
      <c r="L7" s="59"/>
      <c r="M7" s="141" t="str">
        <f>'4 Myynti'!D23</f>
        <v>kausi</v>
      </c>
      <c r="N7" s="72">
        <f>'4 Myynti'!E23</f>
        <v>1</v>
      </c>
      <c r="O7" s="70">
        <f>'4 Myynti'!F23</f>
        <v>2</v>
      </c>
      <c r="P7" s="70">
        <f>'4 Myynti'!G23</f>
        <v>3</v>
      </c>
      <c r="Q7" s="70">
        <f>'4 Myynti'!H23</f>
        <v>4</v>
      </c>
      <c r="R7" s="70">
        <f>'4 Myynti'!I23</f>
        <v>5</v>
      </c>
      <c r="S7" s="70">
        <f>'4 Myynti'!J23</f>
        <v>6</v>
      </c>
      <c r="T7" s="70">
        <f>'4 Myynti'!K23</f>
        <v>7</v>
      </c>
      <c r="U7" s="70">
        <f>'4 Myynti'!L23</f>
        <v>8</v>
      </c>
      <c r="V7" s="70">
        <f>'4 Myynti'!M23</f>
        <v>9</v>
      </c>
      <c r="W7" s="70">
        <f>'4 Myynti'!N23</f>
        <v>10</v>
      </c>
      <c r="X7" s="70">
        <f>'4 Myynti'!O23</f>
        <v>11</v>
      </c>
      <c r="Y7" s="71">
        <f>'4 Myynti'!P23</f>
        <v>12</v>
      </c>
      <c r="AA7" s="57"/>
      <c r="AB7" s="59"/>
      <c r="AC7" s="141" t="s">
        <v>41</v>
      </c>
      <c r="AD7" s="142">
        <v>1</v>
      </c>
      <c r="AE7" s="143">
        <v>2</v>
      </c>
      <c r="AF7" s="143">
        <v>3</v>
      </c>
      <c r="AG7" s="143">
        <v>4</v>
      </c>
      <c r="AH7" s="143">
        <v>5</v>
      </c>
      <c r="AI7" s="143">
        <v>6</v>
      </c>
      <c r="AJ7" s="143">
        <v>7</v>
      </c>
      <c r="AK7" s="143">
        <v>8</v>
      </c>
      <c r="AL7" s="143">
        <v>9</v>
      </c>
      <c r="AM7" s="143">
        <v>10</v>
      </c>
      <c r="AN7" s="143">
        <v>11</v>
      </c>
      <c r="AO7" s="144">
        <v>12</v>
      </c>
      <c r="AQ7" s="57"/>
      <c r="AR7" s="59"/>
      <c r="AS7" s="141" t="s">
        <v>41</v>
      </c>
      <c r="AT7" s="142">
        <v>1</v>
      </c>
      <c r="AU7" s="143">
        <v>2</v>
      </c>
      <c r="AV7" s="143">
        <v>3</v>
      </c>
      <c r="AW7" s="143">
        <v>4</v>
      </c>
      <c r="AX7" s="143">
        <v>5</v>
      </c>
      <c r="AY7" s="143">
        <v>6</v>
      </c>
      <c r="AZ7" s="143">
        <v>7</v>
      </c>
      <c r="BA7" s="143">
        <v>8</v>
      </c>
      <c r="BB7" s="143">
        <v>9</v>
      </c>
      <c r="BC7" s="143">
        <v>10</v>
      </c>
      <c r="BD7" s="143">
        <v>11</v>
      </c>
      <c r="BE7" s="144">
        <v>12</v>
      </c>
      <c r="BG7" s="57"/>
      <c r="BH7" s="59"/>
      <c r="BI7" s="141" t="s">
        <v>41</v>
      </c>
      <c r="BJ7" s="142">
        <v>1</v>
      </c>
      <c r="BK7" s="143">
        <v>2</v>
      </c>
      <c r="BL7" s="143">
        <v>3</v>
      </c>
      <c r="BM7" s="143">
        <v>4</v>
      </c>
      <c r="BN7" s="143">
        <v>5</v>
      </c>
      <c r="BO7" s="143">
        <v>6</v>
      </c>
      <c r="BP7" s="143">
        <v>7</v>
      </c>
      <c r="BQ7" s="143">
        <v>8</v>
      </c>
      <c r="BR7" s="143">
        <v>9</v>
      </c>
      <c r="BS7" s="143">
        <v>10</v>
      </c>
      <c r="BT7" s="143">
        <v>11</v>
      </c>
      <c r="BU7" s="144">
        <v>12</v>
      </c>
      <c r="BW7" s="57"/>
      <c r="BX7" s="59"/>
      <c r="BY7" s="141" t="s">
        <v>41</v>
      </c>
      <c r="BZ7" s="142">
        <v>1</v>
      </c>
      <c r="CA7" s="143">
        <v>2</v>
      </c>
      <c r="CB7" s="143">
        <v>3</v>
      </c>
      <c r="CC7" s="143">
        <v>4</v>
      </c>
      <c r="CD7" s="143">
        <v>5</v>
      </c>
      <c r="CE7" s="143">
        <v>6</v>
      </c>
      <c r="CF7" s="143">
        <v>7</v>
      </c>
      <c r="CG7" s="143">
        <v>8</v>
      </c>
      <c r="CH7" s="143">
        <v>9</v>
      </c>
      <c r="CI7" s="143">
        <v>10</v>
      </c>
      <c r="CJ7" s="143">
        <v>11</v>
      </c>
      <c r="CK7" s="144">
        <v>12</v>
      </c>
      <c r="CM7" s="57"/>
      <c r="CN7" s="59"/>
      <c r="CO7" s="141" t="s">
        <v>41</v>
      </c>
      <c r="CP7" s="142">
        <v>1</v>
      </c>
      <c r="CQ7" s="143">
        <v>2</v>
      </c>
      <c r="CR7" s="143">
        <v>3</v>
      </c>
      <c r="CS7" s="143">
        <v>4</v>
      </c>
      <c r="CT7" s="143">
        <v>5</v>
      </c>
      <c r="CU7" s="143">
        <v>6</v>
      </c>
      <c r="CV7" s="143">
        <v>7</v>
      </c>
      <c r="CW7" s="143">
        <v>8</v>
      </c>
      <c r="CX7" s="143">
        <v>9</v>
      </c>
      <c r="CY7" s="143">
        <v>10</v>
      </c>
      <c r="CZ7" s="143">
        <v>11</v>
      </c>
      <c r="DA7" s="144">
        <v>12</v>
      </c>
      <c r="DC7" s="57"/>
      <c r="DD7" s="59"/>
      <c r="DE7" s="141" t="s">
        <v>41</v>
      </c>
      <c r="DF7" s="142">
        <v>1</v>
      </c>
      <c r="DG7" s="143">
        <v>2</v>
      </c>
      <c r="DH7" s="143">
        <v>3</v>
      </c>
      <c r="DI7" s="143">
        <v>4</v>
      </c>
      <c r="DJ7" s="143">
        <v>5</v>
      </c>
      <c r="DK7" s="143">
        <v>6</v>
      </c>
      <c r="DL7" s="143">
        <v>7</v>
      </c>
      <c r="DM7" s="143">
        <v>8</v>
      </c>
      <c r="DN7" s="143">
        <v>9</v>
      </c>
      <c r="DO7" s="143">
        <v>10</v>
      </c>
      <c r="DP7" s="143">
        <v>11</v>
      </c>
      <c r="DQ7" s="144">
        <v>12</v>
      </c>
      <c r="DS7" s="57"/>
      <c r="DT7" s="59"/>
      <c r="DU7" s="141" t="s">
        <v>41</v>
      </c>
      <c r="DV7" s="142">
        <v>1</v>
      </c>
      <c r="DW7" s="143">
        <v>2</v>
      </c>
      <c r="DX7" s="143">
        <v>3</v>
      </c>
      <c r="DY7" s="143">
        <v>4</v>
      </c>
      <c r="DZ7" s="143">
        <v>5</v>
      </c>
      <c r="EA7" s="143">
        <v>6</v>
      </c>
      <c r="EB7" s="143">
        <v>7</v>
      </c>
      <c r="EC7" s="143">
        <v>8</v>
      </c>
      <c r="ED7" s="143">
        <v>9</v>
      </c>
      <c r="EE7" s="143">
        <v>10</v>
      </c>
      <c r="EF7" s="143">
        <v>11</v>
      </c>
      <c r="EG7" s="144">
        <v>12</v>
      </c>
      <c r="EI7" s="57"/>
      <c r="EJ7" s="59"/>
      <c r="EK7" s="141" t="s">
        <v>41</v>
      </c>
      <c r="EL7" s="142">
        <v>1</v>
      </c>
      <c r="EM7" s="143">
        <v>2</v>
      </c>
      <c r="EN7" s="143">
        <v>3</v>
      </c>
      <c r="EO7" s="143">
        <v>4</v>
      </c>
      <c r="EP7" s="143">
        <v>5</v>
      </c>
      <c r="EQ7" s="143">
        <v>6</v>
      </c>
      <c r="ER7" s="143">
        <v>7</v>
      </c>
      <c r="ES7" s="143">
        <v>8</v>
      </c>
      <c r="ET7" s="143">
        <v>9</v>
      </c>
      <c r="EU7" s="143">
        <v>10</v>
      </c>
      <c r="EV7" s="143">
        <v>11</v>
      </c>
      <c r="EW7" s="144">
        <v>12</v>
      </c>
    </row>
    <row r="8" spans="2:153" ht="13.5" thickBot="1" x14ac:dyDescent="0.25">
      <c r="B8" s="57" t="s">
        <v>108</v>
      </c>
      <c r="C8" s="59"/>
      <c r="D8" s="125"/>
      <c r="E8" s="125"/>
      <c r="F8" s="125"/>
      <c r="I8" s="15"/>
      <c r="K8" s="8" t="s">
        <v>178</v>
      </c>
      <c r="L8" s="10"/>
      <c r="M8" s="423">
        <f>SUM(N8:Y8)</f>
        <v>0</v>
      </c>
      <c r="N8" s="526">
        <f>'4 Myynti'!E33+'4 Myynti'!E42</f>
        <v>0</v>
      </c>
      <c r="O8" s="526">
        <f>'4 Myynti'!F33+'4 Myynti'!F42</f>
        <v>0</v>
      </c>
      <c r="P8" s="526">
        <f>'4 Myynti'!G33+'4 Myynti'!G42</f>
        <v>0</v>
      </c>
      <c r="Q8" s="526">
        <f>'4 Myynti'!H33+'4 Myynti'!H42</f>
        <v>0</v>
      </c>
      <c r="R8" s="526">
        <f>'4 Myynti'!I33+'4 Myynti'!I42</f>
        <v>0</v>
      </c>
      <c r="S8" s="526">
        <f>'4 Myynti'!J33+'4 Myynti'!J42</f>
        <v>0</v>
      </c>
      <c r="T8" s="526">
        <f>'4 Myynti'!K33+'4 Myynti'!K42</f>
        <v>0</v>
      </c>
      <c r="U8" s="526">
        <f>'4 Myynti'!L33+'4 Myynti'!L42</f>
        <v>0</v>
      </c>
      <c r="V8" s="526">
        <f>'4 Myynti'!M33+'4 Myynti'!M42</f>
        <v>0</v>
      </c>
      <c r="W8" s="526">
        <f>'4 Myynti'!N33+'4 Myynti'!N42</f>
        <v>0</v>
      </c>
      <c r="X8" s="526">
        <f>'4 Myynti'!O33+'4 Myynti'!O42</f>
        <v>0</v>
      </c>
      <c r="Y8" s="539">
        <f>'4 Myynti'!P33+'4 Myynti'!P42</f>
        <v>0</v>
      </c>
      <c r="AA8" s="8" t="s">
        <v>178</v>
      </c>
      <c r="AB8" s="58"/>
      <c r="AC8" s="1389">
        <f>SUM(AD8:AO8)</f>
        <v>0</v>
      </c>
      <c r="AD8" s="526">
        <f t="shared" ref="AD8:AO8" si="0">N8/100*$G$28</f>
        <v>0</v>
      </c>
      <c r="AE8" s="526">
        <f t="shared" si="0"/>
        <v>0</v>
      </c>
      <c r="AF8" s="526">
        <f t="shared" si="0"/>
        <v>0</v>
      </c>
      <c r="AG8" s="526">
        <f t="shared" si="0"/>
        <v>0</v>
      </c>
      <c r="AH8" s="526">
        <f t="shared" si="0"/>
        <v>0</v>
      </c>
      <c r="AI8" s="526">
        <f t="shared" si="0"/>
        <v>0</v>
      </c>
      <c r="AJ8" s="526">
        <f t="shared" si="0"/>
        <v>0</v>
      </c>
      <c r="AK8" s="526">
        <f t="shared" si="0"/>
        <v>0</v>
      </c>
      <c r="AL8" s="526">
        <f t="shared" si="0"/>
        <v>0</v>
      </c>
      <c r="AM8" s="526">
        <f t="shared" si="0"/>
        <v>0</v>
      </c>
      <c r="AN8" s="526">
        <f t="shared" si="0"/>
        <v>0</v>
      </c>
      <c r="AO8" s="527">
        <f t="shared" si="0"/>
        <v>0</v>
      </c>
      <c r="AQ8" s="8" t="s">
        <v>178</v>
      </c>
      <c r="AR8" s="58"/>
      <c r="AS8" s="423">
        <f>SUM(AT8:BE8)</f>
        <v>0</v>
      </c>
      <c r="AT8" s="526">
        <f>AD8*'11. Työtunnit'!$C$7</f>
        <v>0</v>
      </c>
      <c r="AU8" s="526">
        <f>AE8*'11. Työtunnit'!$C$7</f>
        <v>0</v>
      </c>
      <c r="AV8" s="526">
        <f>AF8*'11. Työtunnit'!$C$7</f>
        <v>0</v>
      </c>
      <c r="AW8" s="526">
        <f>AG8*'11. Työtunnit'!$C$7</f>
        <v>0</v>
      </c>
      <c r="AX8" s="526">
        <f>AH8*'11. Työtunnit'!$C$7</f>
        <v>0</v>
      </c>
      <c r="AY8" s="526">
        <f>AI8*'11. Työtunnit'!$C$7</f>
        <v>0</v>
      </c>
      <c r="AZ8" s="526">
        <f>AJ8*'11. Työtunnit'!$C$7</f>
        <v>0</v>
      </c>
      <c r="BA8" s="526">
        <f>AK8*'11. Työtunnit'!$C$7</f>
        <v>0</v>
      </c>
      <c r="BB8" s="526">
        <f>AL8*'11. Työtunnit'!$C$7</f>
        <v>0</v>
      </c>
      <c r="BC8" s="526">
        <f>AM8*'11. Työtunnit'!$C$7</f>
        <v>0</v>
      </c>
      <c r="BD8" s="526">
        <f>AN8*'11. Työtunnit'!$C$7</f>
        <v>0</v>
      </c>
      <c r="BE8" s="527">
        <f>AO8*'11. Työtunnit'!$C$7</f>
        <v>0</v>
      </c>
      <c r="BG8" s="8" t="s">
        <v>178</v>
      </c>
      <c r="BH8" s="58"/>
      <c r="BI8" s="423">
        <f>SUM(BJ8:BU8)</f>
        <v>0</v>
      </c>
      <c r="BJ8" s="526">
        <f>AT8*'3 Saalis'!CK31</f>
        <v>0</v>
      </c>
      <c r="BK8" s="526">
        <f>AU8*'3 Saalis'!CL31</f>
        <v>0</v>
      </c>
      <c r="BL8" s="526">
        <f>AV8*'3 Saalis'!CM31</f>
        <v>0</v>
      </c>
      <c r="BM8" s="526">
        <f>AW8*'3 Saalis'!CN31</f>
        <v>0</v>
      </c>
      <c r="BN8" s="526">
        <f>AX8*'3 Saalis'!CO31</f>
        <v>0</v>
      </c>
      <c r="BO8" s="526">
        <f>AY8*'3 Saalis'!CP31</f>
        <v>0</v>
      </c>
      <c r="BP8" s="526">
        <f>AZ8*'3 Saalis'!CQ31</f>
        <v>0</v>
      </c>
      <c r="BQ8" s="526">
        <f>BA8*'3 Saalis'!CR31</f>
        <v>0</v>
      </c>
      <c r="BR8" s="526">
        <f>BB8*'3 Saalis'!CS31</f>
        <v>0</v>
      </c>
      <c r="BS8" s="526">
        <f>BC8*'3 Saalis'!CT31</f>
        <v>0</v>
      </c>
      <c r="BT8" s="526">
        <f>BD8*'3 Saalis'!CU31</f>
        <v>0</v>
      </c>
      <c r="BU8" s="527">
        <f>BE8*'3 Saalis'!CV31</f>
        <v>0</v>
      </c>
      <c r="BW8" s="8" t="s">
        <v>178</v>
      </c>
      <c r="BX8" s="58"/>
      <c r="BY8" s="423">
        <f>SUM(BZ8:CK8)</f>
        <v>0</v>
      </c>
      <c r="BZ8" s="526">
        <f>AT8*'3 Saalis'!CK53</f>
        <v>0</v>
      </c>
      <c r="CA8" s="526">
        <f>AU8*'3 Saalis'!CL53</f>
        <v>0</v>
      </c>
      <c r="CB8" s="526">
        <f>AV8*'3 Saalis'!CM53</f>
        <v>0</v>
      </c>
      <c r="CC8" s="526">
        <f>AW8*'3 Saalis'!CN53</f>
        <v>0</v>
      </c>
      <c r="CD8" s="526">
        <f>AX8*'3 Saalis'!CO53</f>
        <v>0</v>
      </c>
      <c r="CE8" s="526">
        <f>AY8*'3 Saalis'!CP53</f>
        <v>0</v>
      </c>
      <c r="CF8" s="526">
        <f>AZ8*'3 Saalis'!CQ53</f>
        <v>0</v>
      </c>
      <c r="CG8" s="526">
        <f>BA8*'3 Saalis'!CR53</f>
        <v>0</v>
      </c>
      <c r="CH8" s="526">
        <f>BB8*'3 Saalis'!CS53</f>
        <v>0</v>
      </c>
      <c r="CI8" s="526">
        <f>BC8*'3 Saalis'!CT53</f>
        <v>0</v>
      </c>
      <c r="CJ8" s="526">
        <f>BD8*'3 Saalis'!CU53</f>
        <v>0</v>
      </c>
      <c r="CK8" s="527">
        <f>BE8*'3 Saalis'!CV53</f>
        <v>0</v>
      </c>
      <c r="CM8" s="8" t="s">
        <v>178</v>
      </c>
      <c r="CN8" s="58"/>
      <c r="CO8" s="423">
        <f>SUM(CP8:DA8)</f>
        <v>0</v>
      </c>
      <c r="CP8" s="526">
        <f>'3 Saalis'!CK75*'5 Kalan alkukäsittely satamassa'!AT8</f>
        <v>0</v>
      </c>
      <c r="CQ8" s="526">
        <f>'3 Saalis'!CL75*'5 Kalan alkukäsittely satamassa'!AU8</f>
        <v>0</v>
      </c>
      <c r="CR8" s="526">
        <f>'3 Saalis'!CM75*'5 Kalan alkukäsittely satamassa'!AV8</f>
        <v>0</v>
      </c>
      <c r="CS8" s="526">
        <f>'3 Saalis'!CN75*'5 Kalan alkukäsittely satamassa'!AW8</f>
        <v>0</v>
      </c>
      <c r="CT8" s="526">
        <f>'3 Saalis'!CO75*'5 Kalan alkukäsittely satamassa'!AX8</f>
        <v>0</v>
      </c>
      <c r="CU8" s="526">
        <f>'3 Saalis'!CP75*'5 Kalan alkukäsittely satamassa'!AY8</f>
        <v>0</v>
      </c>
      <c r="CV8" s="526">
        <f>'3 Saalis'!CQ75*'5 Kalan alkukäsittely satamassa'!AZ8</f>
        <v>0</v>
      </c>
      <c r="CW8" s="526">
        <f>'3 Saalis'!CR75*'5 Kalan alkukäsittely satamassa'!BA8</f>
        <v>0</v>
      </c>
      <c r="CX8" s="526">
        <f>'3 Saalis'!CS75*'5 Kalan alkukäsittely satamassa'!BB8</f>
        <v>0</v>
      </c>
      <c r="CY8" s="526">
        <f>'3 Saalis'!CT75*'5 Kalan alkukäsittely satamassa'!BC8</f>
        <v>0</v>
      </c>
      <c r="CZ8" s="526">
        <f>'3 Saalis'!CU75*'5 Kalan alkukäsittely satamassa'!BD8</f>
        <v>0</v>
      </c>
      <c r="DA8" s="527">
        <f>'3 Saalis'!CV75*'5 Kalan alkukäsittely satamassa'!BE8</f>
        <v>0</v>
      </c>
      <c r="DC8" s="8" t="s">
        <v>178</v>
      </c>
      <c r="DD8" s="58"/>
      <c r="DE8" s="423">
        <f>SUM(DF8:DQ8)</f>
        <v>0</v>
      </c>
      <c r="DF8" s="526">
        <f>'3 Saalis'!CK97*'5 Kalan alkukäsittely satamassa'!AT8</f>
        <v>0</v>
      </c>
      <c r="DG8" s="526">
        <f>'3 Saalis'!CL97*'5 Kalan alkukäsittely satamassa'!AU8</f>
        <v>0</v>
      </c>
      <c r="DH8" s="526">
        <f>'3 Saalis'!CM97*'5 Kalan alkukäsittely satamassa'!AV8</f>
        <v>0</v>
      </c>
      <c r="DI8" s="526">
        <f>'3 Saalis'!CN97*'5 Kalan alkukäsittely satamassa'!AW8</f>
        <v>0</v>
      </c>
      <c r="DJ8" s="526">
        <f>'3 Saalis'!CO97*'5 Kalan alkukäsittely satamassa'!AX8</f>
        <v>0</v>
      </c>
      <c r="DK8" s="526">
        <f>'3 Saalis'!CP97*'5 Kalan alkukäsittely satamassa'!AY8</f>
        <v>0</v>
      </c>
      <c r="DL8" s="526">
        <f>'3 Saalis'!CQ97*'5 Kalan alkukäsittely satamassa'!AZ8</f>
        <v>0</v>
      </c>
      <c r="DM8" s="526">
        <f>'3 Saalis'!CR97*'5 Kalan alkukäsittely satamassa'!BA8</f>
        <v>0</v>
      </c>
      <c r="DN8" s="526">
        <f>'3 Saalis'!CS97*'5 Kalan alkukäsittely satamassa'!BB8</f>
        <v>0</v>
      </c>
      <c r="DO8" s="526">
        <f>'3 Saalis'!CT97*'5 Kalan alkukäsittely satamassa'!BC8</f>
        <v>0</v>
      </c>
      <c r="DP8" s="526">
        <f>'3 Saalis'!CU97*'5 Kalan alkukäsittely satamassa'!BD8</f>
        <v>0</v>
      </c>
      <c r="DQ8" s="527">
        <f>'3 Saalis'!CV97*'5 Kalan alkukäsittely satamassa'!BE8</f>
        <v>0</v>
      </c>
      <c r="DS8" s="8" t="s">
        <v>178</v>
      </c>
      <c r="DT8" s="58"/>
      <c r="DU8" s="423">
        <f>SUM(DV8:EG8)</f>
        <v>0</v>
      </c>
      <c r="DV8" s="526">
        <f>AT8*'3 Saalis'!CK119</f>
        <v>0</v>
      </c>
      <c r="DW8" s="526">
        <f>AU8*'3 Saalis'!CL119</f>
        <v>0</v>
      </c>
      <c r="DX8" s="526">
        <f>AV8*'3 Saalis'!CM119</f>
        <v>0</v>
      </c>
      <c r="DY8" s="526">
        <f>AW8*'3 Saalis'!CN119</f>
        <v>0</v>
      </c>
      <c r="DZ8" s="526">
        <f>AX8*'3 Saalis'!CO119</f>
        <v>0</v>
      </c>
      <c r="EA8" s="526">
        <f>AY8*'3 Saalis'!CP119</f>
        <v>0</v>
      </c>
      <c r="EB8" s="526">
        <f>AZ8*'3 Saalis'!CQ119</f>
        <v>0</v>
      </c>
      <c r="EC8" s="526">
        <f>BA8*'3 Saalis'!CR119</f>
        <v>0</v>
      </c>
      <c r="ED8" s="526">
        <f>BB8*'3 Saalis'!CS119</f>
        <v>0</v>
      </c>
      <c r="EE8" s="526">
        <f>BC8*'3 Saalis'!CT119</f>
        <v>0</v>
      </c>
      <c r="EF8" s="526">
        <f>BD8*'3 Saalis'!CU119</f>
        <v>0</v>
      </c>
      <c r="EG8" s="527">
        <f>BE8*'3 Saalis'!CV119</f>
        <v>0</v>
      </c>
      <c r="EI8" s="8" t="s">
        <v>178</v>
      </c>
      <c r="EJ8" s="58"/>
      <c r="EK8" s="423">
        <f>SUM(EL8:EW8)</f>
        <v>0</v>
      </c>
      <c r="EL8" s="526">
        <f>AT8*'3 Saalis'!CK141</f>
        <v>0</v>
      </c>
      <c r="EM8" s="526">
        <f>AU8*'3 Saalis'!CL141</f>
        <v>0</v>
      </c>
      <c r="EN8" s="526">
        <f>AV8*'3 Saalis'!CM141</f>
        <v>0</v>
      </c>
      <c r="EO8" s="526">
        <f>AW8*'3 Saalis'!CN141</f>
        <v>0</v>
      </c>
      <c r="EP8" s="526">
        <f>AX8*'3 Saalis'!CO141</f>
        <v>0</v>
      </c>
      <c r="EQ8" s="526">
        <f>AY8*'3 Saalis'!CP141</f>
        <v>0</v>
      </c>
      <c r="ER8" s="526">
        <f>AZ8*'3 Saalis'!CQ141</f>
        <v>0</v>
      </c>
      <c r="ES8" s="526">
        <f>BA8*'3 Saalis'!CR141</f>
        <v>0</v>
      </c>
      <c r="ET8" s="526">
        <f>BB8*'3 Saalis'!CS141</f>
        <v>0</v>
      </c>
      <c r="EU8" s="526">
        <f>BC8*'3 Saalis'!CT141</f>
        <v>0</v>
      </c>
      <c r="EV8" s="526">
        <f>BD8*'3 Saalis'!CU141</f>
        <v>0</v>
      </c>
      <c r="EW8" s="527">
        <f>BE8*'3 Saalis'!CV141</f>
        <v>0</v>
      </c>
    </row>
    <row r="9" spans="2:153" ht="13.5" thickBot="1" x14ac:dyDescent="0.25">
      <c r="B9" s="57" t="s">
        <v>101</v>
      </c>
      <c r="C9" s="59"/>
      <c r="D9" s="1526">
        <v>0.85</v>
      </c>
      <c r="E9" s="125"/>
      <c r="F9" s="1528">
        <v>0.45</v>
      </c>
      <c r="I9" s="15"/>
      <c r="M9" s="106"/>
      <c r="AC9" s="35"/>
      <c r="AS9" s="106"/>
      <c r="BW9"/>
      <c r="BX9"/>
      <c r="CM9"/>
      <c r="CN9"/>
      <c r="DE9" s="106"/>
      <c r="DF9" s="106"/>
      <c r="DG9" s="106"/>
      <c r="DH9" s="106"/>
      <c r="DI9" s="106"/>
      <c r="DJ9" s="106"/>
      <c r="DK9" s="106"/>
      <c r="DL9" s="106"/>
      <c r="DM9" s="106"/>
      <c r="DN9" s="106"/>
      <c r="DO9" s="106"/>
      <c r="DP9" s="106"/>
      <c r="DQ9" s="106"/>
      <c r="DU9" s="106"/>
      <c r="DV9" s="106"/>
      <c r="DW9" s="106"/>
      <c r="DX9" s="106"/>
      <c r="DY9" s="106"/>
      <c r="DZ9" s="106"/>
      <c r="EA9" s="106"/>
      <c r="EB9" s="106"/>
      <c r="EC9" s="106"/>
      <c r="ED9" s="106"/>
      <c r="EE9" s="106"/>
      <c r="EF9" s="106"/>
      <c r="EG9" s="106"/>
      <c r="EK9" s="106"/>
      <c r="EL9" s="106"/>
      <c r="EM9" s="106"/>
      <c r="EN9" s="106"/>
      <c r="EO9" s="106"/>
      <c r="EP9" s="106"/>
      <c r="EQ9" s="106"/>
      <c r="ER9" s="106"/>
      <c r="ES9" s="106"/>
      <c r="ET9" s="106"/>
      <c r="EU9" s="106"/>
      <c r="EV9" s="106"/>
      <c r="EW9" s="106"/>
    </row>
    <row r="10" spans="2:153" ht="13.5" thickBot="1" x14ac:dyDescent="0.25">
      <c r="B10" s="57" t="s">
        <v>102</v>
      </c>
      <c r="C10" s="59"/>
      <c r="D10" s="1526">
        <v>0.75</v>
      </c>
      <c r="E10" s="125"/>
      <c r="F10" s="1528">
        <v>0.3</v>
      </c>
      <c r="I10" s="15"/>
      <c r="K10" s="5" t="s">
        <v>112</v>
      </c>
      <c r="L10" s="36"/>
      <c r="M10" s="136" t="str">
        <f>'4 Myynti'!D46</f>
        <v>Koko</v>
      </c>
      <c r="N10" s="47">
        <f>'4 Myynti'!E46</f>
        <v>0</v>
      </c>
      <c r="O10" s="48">
        <f>'4 Myynti'!F46</f>
        <v>0</v>
      </c>
      <c r="P10" s="48">
        <f>'4 Myynti'!G46</f>
        <v>0</v>
      </c>
      <c r="Q10" s="48">
        <f>'4 Myynti'!H46</f>
        <v>0</v>
      </c>
      <c r="R10" s="48">
        <f>'4 Myynti'!I46</f>
        <v>0</v>
      </c>
      <c r="S10" s="41" t="str">
        <f>'4 Myynti'!J46</f>
        <v>Kuukausittain</v>
      </c>
      <c r="T10" s="48"/>
      <c r="U10" s="48">
        <f>'4 Myynti'!L46</f>
        <v>0</v>
      </c>
      <c r="V10" s="48">
        <f>'4 Myynti'!M46</f>
        <v>0</v>
      </c>
      <c r="W10" s="48">
        <f>'4 Myynti'!N46</f>
        <v>0</v>
      </c>
      <c r="X10" s="48">
        <f>'4 Myynti'!O46</f>
        <v>0</v>
      </c>
      <c r="Y10" s="49">
        <f>'4 Myynti'!P46</f>
        <v>0</v>
      </c>
      <c r="AA10" s="5" t="s">
        <v>112</v>
      </c>
      <c r="AB10" s="36"/>
      <c r="AC10" s="1165" t="s">
        <v>40</v>
      </c>
      <c r="AD10" s="137">
        <v>0</v>
      </c>
      <c r="AE10" s="138">
        <v>0</v>
      </c>
      <c r="AF10" s="138">
        <v>0</v>
      </c>
      <c r="AG10" s="138">
        <v>0</v>
      </c>
      <c r="AH10" s="138">
        <v>0</v>
      </c>
      <c r="AI10" s="139" t="s">
        <v>42</v>
      </c>
      <c r="AJ10" s="138"/>
      <c r="AK10" s="138">
        <v>0</v>
      </c>
      <c r="AL10" s="138">
        <v>0</v>
      </c>
      <c r="AM10" s="138">
        <v>0</v>
      </c>
      <c r="AN10" s="138">
        <v>0</v>
      </c>
      <c r="AO10" s="140">
        <v>0</v>
      </c>
      <c r="AQ10" s="5" t="s">
        <v>112</v>
      </c>
      <c r="AR10" s="36"/>
      <c r="AS10" s="136" t="s">
        <v>40</v>
      </c>
      <c r="AT10" s="137">
        <v>0</v>
      </c>
      <c r="AU10" s="138">
        <v>0</v>
      </c>
      <c r="AV10" s="138">
        <v>0</v>
      </c>
      <c r="AW10" s="138">
        <v>0</v>
      </c>
      <c r="AX10" s="138">
        <v>0</v>
      </c>
      <c r="AY10" s="139" t="s">
        <v>42</v>
      </c>
      <c r="AZ10" s="138"/>
      <c r="BA10" s="138">
        <v>0</v>
      </c>
      <c r="BB10" s="138">
        <v>0</v>
      </c>
      <c r="BC10" s="138">
        <v>0</v>
      </c>
      <c r="BD10" s="138">
        <v>0</v>
      </c>
      <c r="BE10" s="140">
        <v>0</v>
      </c>
      <c r="BG10" s="5" t="s">
        <v>112</v>
      </c>
      <c r="BH10" s="36"/>
      <c r="BI10" s="136" t="s">
        <v>40</v>
      </c>
      <c r="BJ10" s="137">
        <v>0</v>
      </c>
      <c r="BK10" s="138">
        <v>0</v>
      </c>
      <c r="BL10" s="138">
        <v>0</v>
      </c>
      <c r="BM10" s="138">
        <v>0</v>
      </c>
      <c r="BN10" s="138">
        <v>0</v>
      </c>
      <c r="BO10" s="139" t="s">
        <v>42</v>
      </c>
      <c r="BP10" s="138"/>
      <c r="BQ10" s="138">
        <v>0</v>
      </c>
      <c r="BR10" s="138">
        <v>0</v>
      </c>
      <c r="BS10" s="138">
        <v>0</v>
      </c>
      <c r="BT10" s="138">
        <v>0</v>
      </c>
      <c r="BU10" s="140">
        <v>0</v>
      </c>
      <c r="BW10" s="5" t="s">
        <v>112</v>
      </c>
      <c r="BX10" s="36"/>
      <c r="BY10" s="136" t="s">
        <v>40</v>
      </c>
      <c r="BZ10" s="137">
        <v>0</v>
      </c>
      <c r="CA10" s="138">
        <v>0</v>
      </c>
      <c r="CB10" s="138">
        <v>0</v>
      </c>
      <c r="CC10" s="138">
        <v>0</v>
      </c>
      <c r="CD10" s="138">
        <v>0</v>
      </c>
      <c r="CE10" s="139" t="s">
        <v>42</v>
      </c>
      <c r="CF10" s="138"/>
      <c r="CG10" s="138">
        <v>0</v>
      </c>
      <c r="CH10" s="138">
        <v>0</v>
      </c>
      <c r="CI10" s="138">
        <v>0</v>
      </c>
      <c r="CJ10" s="138">
        <v>0</v>
      </c>
      <c r="CK10" s="140">
        <v>0</v>
      </c>
      <c r="CM10" s="5" t="s">
        <v>112</v>
      </c>
      <c r="CN10" s="36"/>
      <c r="CO10" s="136" t="s">
        <v>40</v>
      </c>
      <c r="CP10" s="137">
        <v>0</v>
      </c>
      <c r="CQ10" s="138">
        <v>0</v>
      </c>
      <c r="CR10" s="138">
        <v>0</v>
      </c>
      <c r="CS10" s="138">
        <v>0</v>
      </c>
      <c r="CT10" s="138">
        <v>0</v>
      </c>
      <c r="CU10" s="139" t="s">
        <v>42</v>
      </c>
      <c r="CV10" s="138"/>
      <c r="CW10" s="138">
        <v>0</v>
      </c>
      <c r="CX10" s="138">
        <v>0</v>
      </c>
      <c r="CY10" s="138">
        <v>0</v>
      </c>
      <c r="CZ10" s="138">
        <v>0</v>
      </c>
      <c r="DA10" s="140">
        <v>0</v>
      </c>
      <c r="DC10" s="5" t="s">
        <v>112</v>
      </c>
      <c r="DD10" s="36"/>
      <c r="DE10" s="136" t="s">
        <v>40</v>
      </c>
      <c r="DF10" s="137">
        <v>0</v>
      </c>
      <c r="DG10" s="138">
        <v>0</v>
      </c>
      <c r="DH10" s="138">
        <v>0</v>
      </c>
      <c r="DI10" s="138">
        <v>0</v>
      </c>
      <c r="DJ10" s="138">
        <v>0</v>
      </c>
      <c r="DK10" s="139" t="s">
        <v>42</v>
      </c>
      <c r="DL10" s="138"/>
      <c r="DM10" s="138">
        <v>0</v>
      </c>
      <c r="DN10" s="138">
        <v>0</v>
      </c>
      <c r="DO10" s="138">
        <v>0</v>
      </c>
      <c r="DP10" s="138">
        <v>0</v>
      </c>
      <c r="DQ10" s="140">
        <v>0</v>
      </c>
      <c r="DS10" s="5" t="s">
        <v>112</v>
      </c>
      <c r="DT10" s="36"/>
      <c r="DU10" s="136" t="s">
        <v>40</v>
      </c>
      <c r="DV10" s="137">
        <v>0</v>
      </c>
      <c r="DW10" s="138">
        <v>0</v>
      </c>
      <c r="DX10" s="138">
        <v>0</v>
      </c>
      <c r="DY10" s="138">
        <v>0</v>
      </c>
      <c r="DZ10" s="138">
        <v>0</v>
      </c>
      <c r="EA10" s="139" t="s">
        <v>42</v>
      </c>
      <c r="EB10" s="138"/>
      <c r="EC10" s="138">
        <v>0</v>
      </c>
      <c r="ED10" s="138">
        <v>0</v>
      </c>
      <c r="EE10" s="138">
        <v>0</v>
      </c>
      <c r="EF10" s="138">
        <v>0</v>
      </c>
      <c r="EG10" s="140">
        <v>0</v>
      </c>
      <c r="EI10" s="5" t="s">
        <v>112</v>
      </c>
      <c r="EJ10" s="36"/>
      <c r="EK10" s="136" t="s">
        <v>40</v>
      </c>
      <c r="EL10" s="137">
        <v>0</v>
      </c>
      <c r="EM10" s="138">
        <v>0</v>
      </c>
      <c r="EN10" s="138">
        <v>0</v>
      </c>
      <c r="EO10" s="138">
        <v>0</v>
      </c>
      <c r="EP10" s="138">
        <v>0</v>
      </c>
      <c r="EQ10" s="139" t="s">
        <v>42</v>
      </c>
      <c r="ER10" s="138"/>
      <c r="ES10" s="138">
        <v>0</v>
      </c>
      <c r="ET10" s="138">
        <v>0</v>
      </c>
      <c r="EU10" s="138">
        <v>0</v>
      </c>
      <c r="EV10" s="138">
        <v>0</v>
      </c>
      <c r="EW10" s="140">
        <v>0</v>
      </c>
    </row>
    <row r="11" spans="2:153" ht="13.5" thickBot="1" x14ac:dyDescent="0.25">
      <c r="B11" s="57" t="s">
        <v>119</v>
      </c>
      <c r="C11" s="59"/>
      <c r="D11" s="1526">
        <v>0.9</v>
      </c>
      <c r="E11" s="125"/>
      <c r="F11" s="1528">
        <v>0.55000000000000004</v>
      </c>
      <c r="I11" s="15"/>
      <c r="K11" s="40"/>
      <c r="L11" s="56"/>
      <c r="M11" s="141" t="str">
        <f>'4 Myynti'!D47</f>
        <v>kausi</v>
      </c>
      <c r="N11" s="72">
        <f>'4 Myynti'!E47</f>
        <v>1</v>
      </c>
      <c r="O11" s="70">
        <f>'4 Myynti'!F47</f>
        <v>2</v>
      </c>
      <c r="P11" s="70">
        <f>'4 Myynti'!G47</f>
        <v>3</v>
      </c>
      <c r="Q11" s="70">
        <f>'4 Myynti'!H47</f>
        <v>4</v>
      </c>
      <c r="R11" s="70">
        <f>'4 Myynti'!I47</f>
        <v>5</v>
      </c>
      <c r="S11" s="70">
        <f>'4 Myynti'!J47</f>
        <v>6</v>
      </c>
      <c r="T11" s="70">
        <f>'4 Myynti'!K47</f>
        <v>7</v>
      </c>
      <c r="U11" s="70">
        <f>'4 Myynti'!L47</f>
        <v>8</v>
      </c>
      <c r="V11" s="70">
        <f>'4 Myynti'!M47</f>
        <v>9</v>
      </c>
      <c r="W11" s="70">
        <f>'4 Myynti'!N47</f>
        <v>10</v>
      </c>
      <c r="X11" s="70">
        <f>'4 Myynti'!O47</f>
        <v>11</v>
      </c>
      <c r="Y11" s="71">
        <f>'4 Myynti'!P47</f>
        <v>12</v>
      </c>
      <c r="AA11" s="40"/>
      <c r="AB11" s="56"/>
      <c r="AC11" s="1166" t="s">
        <v>41</v>
      </c>
      <c r="AD11" s="142">
        <v>1</v>
      </c>
      <c r="AE11" s="143">
        <v>2</v>
      </c>
      <c r="AF11" s="143">
        <v>3</v>
      </c>
      <c r="AG11" s="143">
        <v>4</v>
      </c>
      <c r="AH11" s="143">
        <v>5</v>
      </c>
      <c r="AI11" s="143">
        <v>6</v>
      </c>
      <c r="AJ11" s="143">
        <v>7</v>
      </c>
      <c r="AK11" s="143">
        <v>8</v>
      </c>
      <c r="AL11" s="143">
        <v>9</v>
      </c>
      <c r="AM11" s="143">
        <v>10</v>
      </c>
      <c r="AN11" s="143">
        <v>11</v>
      </c>
      <c r="AO11" s="144">
        <v>12</v>
      </c>
      <c r="AQ11" s="40"/>
      <c r="AR11" s="56"/>
      <c r="AS11" s="141" t="s">
        <v>41</v>
      </c>
      <c r="AT11" s="142">
        <v>1</v>
      </c>
      <c r="AU11" s="143">
        <v>2</v>
      </c>
      <c r="AV11" s="143">
        <v>3</v>
      </c>
      <c r="AW11" s="143">
        <v>4</v>
      </c>
      <c r="AX11" s="143">
        <v>5</v>
      </c>
      <c r="AY11" s="143">
        <v>6</v>
      </c>
      <c r="AZ11" s="143">
        <v>7</v>
      </c>
      <c r="BA11" s="143">
        <v>8</v>
      </c>
      <c r="BB11" s="143">
        <v>9</v>
      </c>
      <c r="BC11" s="143">
        <v>10</v>
      </c>
      <c r="BD11" s="143">
        <v>11</v>
      </c>
      <c r="BE11" s="144">
        <v>12</v>
      </c>
      <c r="BG11" s="40"/>
      <c r="BH11" s="56"/>
      <c r="BI11" s="141" t="s">
        <v>41</v>
      </c>
      <c r="BJ11" s="142">
        <v>1</v>
      </c>
      <c r="BK11" s="143">
        <v>2</v>
      </c>
      <c r="BL11" s="143">
        <v>3</v>
      </c>
      <c r="BM11" s="143">
        <v>4</v>
      </c>
      <c r="BN11" s="143">
        <v>5</v>
      </c>
      <c r="BO11" s="143">
        <v>6</v>
      </c>
      <c r="BP11" s="143">
        <v>7</v>
      </c>
      <c r="BQ11" s="143">
        <v>8</v>
      </c>
      <c r="BR11" s="143">
        <v>9</v>
      </c>
      <c r="BS11" s="143">
        <v>10</v>
      </c>
      <c r="BT11" s="143">
        <v>11</v>
      </c>
      <c r="BU11" s="144">
        <v>12</v>
      </c>
      <c r="BW11" s="40"/>
      <c r="BX11" s="56"/>
      <c r="BY11" s="141" t="s">
        <v>41</v>
      </c>
      <c r="BZ11" s="142">
        <v>1</v>
      </c>
      <c r="CA11" s="143">
        <v>2</v>
      </c>
      <c r="CB11" s="143">
        <v>3</v>
      </c>
      <c r="CC11" s="143">
        <v>4</v>
      </c>
      <c r="CD11" s="143">
        <v>5</v>
      </c>
      <c r="CE11" s="143">
        <v>6</v>
      </c>
      <c r="CF11" s="143">
        <v>7</v>
      </c>
      <c r="CG11" s="143">
        <v>8</v>
      </c>
      <c r="CH11" s="143">
        <v>9</v>
      </c>
      <c r="CI11" s="143">
        <v>10</v>
      </c>
      <c r="CJ11" s="143">
        <v>11</v>
      </c>
      <c r="CK11" s="144">
        <v>12</v>
      </c>
      <c r="CM11" s="40"/>
      <c r="CN11" s="56"/>
      <c r="CO11" s="141" t="s">
        <v>41</v>
      </c>
      <c r="CP11" s="142">
        <v>1</v>
      </c>
      <c r="CQ11" s="143">
        <v>2</v>
      </c>
      <c r="CR11" s="143">
        <v>3</v>
      </c>
      <c r="CS11" s="143">
        <v>4</v>
      </c>
      <c r="CT11" s="143">
        <v>5</v>
      </c>
      <c r="CU11" s="143">
        <v>6</v>
      </c>
      <c r="CV11" s="143">
        <v>7</v>
      </c>
      <c r="CW11" s="143">
        <v>8</v>
      </c>
      <c r="CX11" s="143">
        <v>9</v>
      </c>
      <c r="CY11" s="143">
        <v>10</v>
      </c>
      <c r="CZ11" s="143">
        <v>11</v>
      </c>
      <c r="DA11" s="144">
        <v>12</v>
      </c>
      <c r="DC11" s="40"/>
      <c r="DD11" s="56"/>
      <c r="DE11" s="141" t="s">
        <v>41</v>
      </c>
      <c r="DF11" s="142">
        <v>1</v>
      </c>
      <c r="DG11" s="143">
        <v>2</v>
      </c>
      <c r="DH11" s="143">
        <v>3</v>
      </c>
      <c r="DI11" s="143">
        <v>4</v>
      </c>
      <c r="DJ11" s="143">
        <v>5</v>
      </c>
      <c r="DK11" s="143">
        <v>6</v>
      </c>
      <c r="DL11" s="143">
        <v>7</v>
      </c>
      <c r="DM11" s="143">
        <v>8</v>
      </c>
      <c r="DN11" s="143">
        <v>9</v>
      </c>
      <c r="DO11" s="143">
        <v>10</v>
      </c>
      <c r="DP11" s="143">
        <v>11</v>
      </c>
      <c r="DQ11" s="144">
        <v>12</v>
      </c>
      <c r="DS11" s="40"/>
      <c r="DT11" s="56"/>
      <c r="DU11" s="141" t="s">
        <v>41</v>
      </c>
      <c r="DV11" s="142">
        <v>1</v>
      </c>
      <c r="DW11" s="143">
        <v>2</v>
      </c>
      <c r="DX11" s="143">
        <v>3</v>
      </c>
      <c r="DY11" s="143">
        <v>4</v>
      </c>
      <c r="DZ11" s="143">
        <v>5</v>
      </c>
      <c r="EA11" s="143">
        <v>6</v>
      </c>
      <c r="EB11" s="143">
        <v>7</v>
      </c>
      <c r="EC11" s="143">
        <v>8</v>
      </c>
      <c r="ED11" s="143">
        <v>9</v>
      </c>
      <c r="EE11" s="143">
        <v>10</v>
      </c>
      <c r="EF11" s="143">
        <v>11</v>
      </c>
      <c r="EG11" s="144">
        <v>12</v>
      </c>
      <c r="EI11" s="40"/>
      <c r="EJ11" s="56"/>
      <c r="EK11" s="141" t="s">
        <v>41</v>
      </c>
      <c r="EL11" s="142">
        <v>1</v>
      </c>
      <c r="EM11" s="143">
        <v>2</v>
      </c>
      <c r="EN11" s="143">
        <v>3</v>
      </c>
      <c r="EO11" s="143">
        <v>4</v>
      </c>
      <c r="EP11" s="143">
        <v>5</v>
      </c>
      <c r="EQ11" s="143">
        <v>6</v>
      </c>
      <c r="ER11" s="143">
        <v>7</v>
      </c>
      <c r="ES11" s="143">
        <v>8</v>
      </c>
      <c r="ET11" s="143">
        <v>9</v>
      </c>
      <c r="EU11" s="143">
        <v>10</v>
      </c>
      <c r="EV11" s="143">
        <v>11</v>
      </c>
      <c r="EW11" s="144">
        <v>12</v>
      </c>
    </row>
    <row r="12" spans="2:153" ht="13.5" thickBot="1" x14ac:dyDescent="0.25">
      <c r="B12" s="57" t="s">
        <v>120</v>
      </c>
      <c r="C12" s="59"/>
      <c r="D12" s="1526">
        <v>0.9</v>
      </c>
      <c r="E12" s="125"/>
      <c r="F12" s="1528">
        <v>0.55000000000000004</v>
      </c>
      <c r="I12" s="15"/>
      <c r="K12" s="8" t="s">
        <v>178</v>
      </c>
      <c r="L12" s="56"/>
      <c r="M12" s="423">
        <f>SUM(N12:Y12)</f>
        <v>0</v>
      </c>
      <c r="N12" s="526">
        <f>'4 Myynti'!E50+'4 Myynti'!E52</f>
        <v>0</v>
      </c>
      <c r="O12" s="526">
        <f>'4 Myynti'!F50+'4 Myynti'!F52</f>
        <v>0</v>
      </c>
      <c r="P12" s="526">
        <f>'4 Myynti'!G50+'4 Myynti'!G52</f>
        <v>0</v>
      </c>
      <c r="Q12" s="526">
        <f>'4 Myynti'!H50+'4 Myynti'!H52</f>
        <v>0</v>
      </c>
      <c r="R12" s="526">
        <f>'4 Myynti'!I50+'4 Myynti'!I52</f>
        <v>0</v>
      </c>
      <c r="S12" s="526">
        <f>'4 Myynti'!J50+'4 Myynti'!J52</f>
        <v>0</v>
      </c>
      <c r="T12" s="526">
        <f>'4 Myynti'!K50+'4 Myynti'!K52</f>
        <v>0</v>
      </c>
      <c r="U12" s="526">
        <f>'4 Myynti'!L50+'4 Myynti'!L52</f>
        <v>0</v>
      </c>
      <c r="V12" s="526">
        <f>'4 Myynti'!M50+'4 Myynti'!M52</f>
        <v>0</v>
      </c>
      <c r="W12" s="526">
        <f>'4 Myynti'!N50+'4 Myynti'!N52</f>
        <v>0</v>
      </c>
      <c r="X12" s="526">
        <f>'4 Myynti'!O50+'4 Myynti'!O52</f>
        <v>0</v>
      </c>
      <c r="Y12" s="527">
        <f>'4 Myynti'!P50+'4 Myynti'!P52</f>
        <v>0</v>
      </c>
      <c r="AA12" s="8" t="s">
        <v>178</v>
      </c>
      <c r="AB12" s="56"/>
      <c r="AC12" s="1389">
        <f>SUM(AD12:AO12)</f>
        <v>0</v>
      </c>
      <c r="AD12" s="526">
        <f t="shared" ref="AD12:AO12" si="1">N12/100*$G$29</f>
        <v>0</v>
      </c>
      <c r="AE12" s="526">
        <f t="shared" si="1"/>
        <v>0</v>
      </c>
      <c r="AF12" s="526">
        <f t="shared" si="1"/>
        <v>0</v>
      </c>
      <c r="AG12" s="526">
        <f t="shared" si="1"/>
        <v>0</v>
      </c>
      <c r="AH12" s="526">
        <f t="shared" si="1"/>
        <v>0</v>
      </c>
      <c r="AI12" s="526">
        <f t="shared" si="1"/>
        <v>0</v>
      </c>
      <c r="AJ12" s="526">
        <f t="shared" si="1"/>
        <v>0</v>
      </c>
      <c r="AK12" s="526">
        <f t="shared" si="1"/>
        <v>0</v>
      </c>
      <c r="AL12" s="526">
        <f t="shared" si="1"/>
        <v>0</v>
      </c>
      <c r="AM12" s="526">
        <f t="shared" si="1"/>
        <v>0</v>
      </c>
      <c r="AN12" s="526">
        <f t="shared" si="1"/>
        <v>0</v>
      </c>
      <c r="AO12" s="527">
        <f t="shared" si="1"/>
        <v>0</v>
      </c>
      <c r="AQ12" s="8" t="s">
        <v>178</v>
      </c>
      <c r="AR12" s="56"/>
      <c r="AS12" s="423">
        <f>SUM(AT12:BE12)</f>
        <v>0</v>
      </c>
      <c r="AT12" s="526">
        <f>AD12*'11. Työtunnit'!$C$7</f>
        <v>0</v>
      </c>
      <c r="AU12" s="526">
        <f>AE12*'11. Työtunnit'!$C$7</f>
        <v>0</v>
      </c>
      <c r="AV12" s="526">
        <f>AF12*'11. Työtunnit'!$C$7</f>
        <v>0</v>
      </c>
      <c r="AW12" s="526">
        <f>AG12*'11. Työtunnit'!$C$7</f>
        <v>0</v>
      </c>
      <c r="AX12" s="526">
        <f>AH12*'11. Työtunnit'!$C$7</f>
        <v>0</v>
      </c>
      <c r="AY12" s="526">
        <f>AI12*'11. Työtunnit'!$C$7</f>
        <v>0</v>
      </c>
      <c r="AZ12" s="526">
        <f>AJ12*'11. Työtunnit'!$C$7</f>
        <v>0</v>
      </c>
      <c r="BA12" s="526">
        <f>AK12*'11. Työtunnit'!$C$7</f>
        <v>0</v>
      </c>
      <c r="BB12" s="526">
        <f>AL12*'11. Työtunnit'!$C$7</f>
        <v>0</v>
      </c>
      <c r="BC12" s="526">
        <f>AM12*'11. Työtunnit'!$C$7</f>
        <v>0</v>
      </c>
      <c r="BD12" s="526">
        <f>AN12*'11. Työtunnit'!$C$7</f>
        <v>0</v>
      </c>
      <c r="BE12" s="527">
        <f>AO12*'11. Työtunnit'!$C$7</f>
        <v>0</v>
      </c>
      <c r="BG12" s="8" t="s">
        <v>178</v>
      </c>
      <c r="BH12" s="56"/>
      <c r="BI12" s="423">
        <f>SUM(BJ12:BU12)</f>
        <v>0</v>
      </c>
      <c r="BJ12" s="526">
        <f>AT12*'3 Saalis'!CK32</f>
        <v>0</v>
      </c>
      <c r="BK12" s="526">
        <f>AU12*'3 Saalis'!CL32</f>
        <v>0</v>
      </c>
      <c r="BL12" s="526">
        <f>AV12*'3 Saalis'!CM32</f>
        <v>0</v>
      </c>
      <c r="BM12" s="526">
        <f>AW12*'3 Saalis'!CN32</f>
        <v>0</v>
      </c>
      <c r="BN12" s="526">
        <f>AX12*'3 Saalis'!CO32</f>
        <v>0</v>
      </c>
      <c r="BO12" s="526">
        <f>AY12*'3 Saalis'!CP32</f>
        <v>0</v>
      </c>
      <c r="BP12" s="526">
        <f>AZ12*'3 Saalis'!CQ32</f>
        <v>0</v>
      </c>
      <c r="BQ12" s="526">
        <f>BA12*'3 Saalis'!CR32</f>
        <v>0</v>
      </c>
      <c r="BR12" s="526">
        <f>BB12*'3 Saalis'!CS32</f>
        <v>0</v>
      </c>
      <c r="BS12" s="526">
        <f>BC12*'3 Saalis'!CT32</f>
        <v>0</v>
      </c>
      <c r="BT12" s="526">
        <f>BD12*'3 Saalis'!CU32</f>
        <v>0</v>
      </c>
      <c r="BU12" s="527">
        <f>BE12*'3 Saalis'!CV32</f>
        <v>0</v>
      </c>
      <c r="BW12" s="8" t="s">
        <v>178</v>
      </c>
      <c r="BX12" s="56"/>
      <c r="BY12" s="423">
        <f>SUM(BZ12:CK12)</f>
        <v>0</v>
      </c>
      <c r="BZ12" s="526">
        <f>AT13*'3 Saalis'!CK54</f>
        <v>0</v>
      </c>
      <c r="CA12" s="526">
        <f>AU13*'3 Saalis'!CL54</f>
        <v>0</v>
      </c>
      <c r="CB12" s="526">
        <f>AV13*'3 Saalis'!CM54</f>
        <v>0</v>
      </c>
      <c r="CC12" s="526">
        <f>AW13*'3 Saalis'!CN54</f>
        <v>0</v>
      </c>
      <c r="CD12" s="526">
        <f>AX13*'3 Saalis'!CO54</f>
        <v>0</v>
      </c>
      <c r="CE12" s="526">
        <f>AY13*'3 Saalis'!CP54</f>
        <v>0</v>
      </c>
      <c r="CF12" s="526">
        <f>AZ13*'3 Saalis'!CQ54</f>
        <v>0</v>
      </c>
      <c r="CG12" s="526">
        <f>BA13*'3 Saalis'!CR54</f>
        <v>0</v>
      </c>
      <c r="CH12" s="526">
        <f>BB13*'3 Saalis'!CS54</f>
        <v>0</v>
      </c>
      <c r="CI12" s="526">
        <f>BC13*'3 Saalis'!CT54</f>
        <v>0</v>
      </c>
      <c r="CJ12" s="526">
        <f>BD13*'3 Saalis'!CU54</f>
        <v>0</v>
      </c>
      <c r="CK12" s="527">
        <f>BE13*'3 Saalis'!CV54</f>
        <v>0</v>
      </c>
      <c r="CM12" s="8" t="s">
        <v>178</v>
      </c>
      <c r="CN12" s="56"/>
      <c r="CO12" s="423">
        <f>SUM(CP12:DA12)</f>
        <v>0</v>
      </c>
      <c r="CP12" s="526">
        <f>'3 Saalis'!CK76*'5 Kalan alkukäsittely satamassa'!AT12</f>
        <v>0</v>
      </c>
      <c r="CQ12" s="526">
        <f>'3 Saalis'!CL76*'5 Kalan alkukäsittely satamassa'!AU12</f>
        <v>0</v>
      </c>
      <c r="CR12" s="526">
        <f>'3 Saalis'!CM76*'5 Kalan alkukäsittely satamassa'!AV12</f>
        <v>0</v>
      </c>
      <c r="CS12" s="526">
        <f>'3 Saalis'!CN76*'5 Kalan alkukäsittely satamassa'!AW12</f>
        <v>0</v>
      </c>
      <c r="CT12" s="526">
        <f>'3 Saalis'!CO76*'5 Kalan alkukäsittely satamassa'!AX12</f>
        <v>0</v>
      </c>
      <c r="CU12" s="526">
        <f>'3 Saalis'!CP76*'5 Kalan alkukäsittely satamassa'!AY12</f>
        <v>0</v>
      </c>
      <c r="CV12" s="526">
        <f>'3 Saalis'!CQ76*'5 Kalan alkukäsittely satamassa'!AZ12</f>
        <v>0</v>
      </c>
      <c r="CW12" s="526">
        <f>'3 Saalis'!CR76*'5 Kalan alkukäsittely satamassa'!BA12</f>
        <v>0</v>
      </c>
      <c r="CX12" s="526">
        <f>'3 Saalis'!CS76*'5 Kalan alkukäsittely satamassa'!BB12</f>
        <v>0</v>
      </c>
      <c r="CY12" s="526">
        <f>'3 Saalis'!CT76*'5 Kalan alkukäsittely satamassa'!BC12</f>
        <v>0</v>
      </c>
      <c r="CZ12" s="526">
        <f>'3 Saalis'!CU76*'5 Kalan alkukäsittely satamassa'!BD12</f>
        <v>0</v>
      </c>
      <c r="DA12" s="527">
        <f>'3 Saalis'!CV76*'5 Kalan alkukäsittely satamassa'!BE12</f>
        <v>0</v>
      </c>
      <c r="DC12" s="8" t="s">
        <v>178</v>
      </c>
      <c r="DD12" s="56"/>
      <c r="DE12" s="423">
        <f>SUM(DF12:DQ12)</f>
        <v>0</v>
      </c>
      <c r="DF12" s="526">
        <f>'3 Saalis'!CK98*'5 Kalan alkukäsittely satamassa'!AT12</f>
        <v>0</v>
      </c>
      <c r="DG12" s="526">
        <f>'3 Saalis'!CL98*'5 Kalan alkukäsittely satamassa'!AU12</f>
        <v>0</v>
      </c>
      <c r="DH12" s="526">
        <f>'3 Saalis'!CM98*'5 Kalan alkukäsittely satamassa'!AV12</f>
        <v>0</v>
      </c>
      <c r="DI12" s="526">
        <f>'3 Saalis'!CN98*'5 Kalan alkukäsittely satamassa'!AW12</f>
        <v>0</v>
      </c>
      <c r="DJ12" s="526">
        <f>'3 Saalis'!CO98*'5 Kalan alkukäsittely satamassa'!AX12</f>
        <v>0</v>
      </c>
      <c r="DK12" s="526">
        <f>'3 Saalis'!CP98*'5 Kalan alkukäsittely satamassa'!AY12</f>
        <v>0</v>
      </c>
      <c r="DL12" s="526">
        <f>'3 Saalis'!CQ98*'5 Kalan alkukäsittely satamassa'!AZ12</f>
        <v>0</v>
      </c>
      <c r="DM12" s="526">
        <f>'3 Saalis'!CR98*'5 Kalan alkukäsittely satamassa'!BA12</f>
        <v>0</v>
      </c>
      <c r="DN12" s="526">
        <f>'3 Saalis'!CS98*'5 Kalan alkukäsittely satamassa'!BB12</f>
        <v>0</v>
      </c>
      <c r="DO12" s="526">
        <f>'3 Saalis'!CT98*'5 Kalan alkukäsittely satamassa'!BC12</f>
        <v>0</v>
      </c>
      <c r="DP12" s="526">
        <f>'3 Saalis'!CU98*'5 Kalan alkukäsittely satamassa'!BD12</f>
        <v>0</v>
      </c>
      <c r="DQ12" s="527">
        <f>'3 Saalis'!CV98*'5 Kalan alkukäsittely satamassa'!BE12</f>
        <v>0</v>
      </c>
      <c r="DS12" s="8" t="s">
        <v>178</v>
      </c>
      <c r="DT12" s="56"/>
      <c r="DU12" s="423">
        <f>SUM(DV12:EG12)</f>
        <v>0</v>
      </c>
      <c r="DV12" s="526">
        <f>AT12*'3 Saalis'!CK120</f>
        <v>0</v>
      </c>
      <c r="DW12" s="526">
        <f>AU12*'3 Saalis'!CL120</f>
        <v>0</v>
      </c>
      <c r="DX12" s="526">
        <f>AV12*'3 Saalis'!CM120</f>
        <v>0</v>
      </c>
      <c r="DY12" s="526">
        <f>AW12*'3 Saalis'!CN120</f>
        <v>0</v>
      </c>
      <c r="DZ12" s="526">
        <f>AX12*'3 Saalis'!CO120</f>
        <v>0</v>
      </c>
      <c r="EA12" s="526">
        <f>AY12*'3 Saalis'!CP120</f>
        <v>0</v>
      </c>
      <c r="EB12" s="526">
        <f>AZ12*'3 Saalis'!CQ120</f>
        <v>0</v>
      </c>
      <c r="EC12" s="526">
        <f>BA12*'3 Saalis'!CR120</f>
        <v>0</v>
      </c>
      <c r="ED12" s="526">
        <f>BB12*'3 Saalis'!CS120</f>
        <v>0</v>
      </c>
      <c r="EE12" s="526">
        <f>BC12*'3 Saalis'!CT120</f>
        <v>0</v>
      </c>
      <c r="EF12" s="526">
        <f>BD12*'3 Saalis'!CU120</f>
        <v>0</v>
      </c>
      <c r="EG12" s="527">
        <f>BE12*'3 Saalis'!CV120</f>
        <v>0</v>
      </c>
      <c r="EI12" s="8" t="s">
        <v>178</v>
      </c>
      <c r="EJ12" s="56"/>
      <c r="EK12" s="423">
        <f>SUM(EL12:EW12)</f>
        <v>0</v>
      </c>
      <c r="EL12" s="526">
        <f>AT12*'3 Saalis'!CK142</f>
        <v>0</v>
      </c>
      <c r="EM12" s="526">
        <f>AU12*'3 Saalis'!CL142</f>
        <v>0</v>
      </c>
      <c r="EN12" s="526">
        <f>AV12*'3 Saalis'!CM142</f>
        <v>0</v>
      </c>
      <c r="EO12" s="526">
        <f>AW12*'3 Saalis'!CN142</f>
        <v>0</v>
      </c>
      <c r="EP12" s="526">
        <f>AX12*'3 Saalis'!CO142</f>
        <v>0</v>
      </c>
      <c r="EQ12" s="526">
        <f>AY12*'3 Saalis'!CP142</f>
        <v>0</v>
      </c>
      <c r="ER12" s="526">
        <f>AZ12*'3 Saalis'!CQ142</f>
        <v>0</v>
      </c>
      <c r="ES12" s="526">
        <f>BA12*'3 Saalis'!CR142</f>
        <v>0</v>
      </c>
      <c r="ET12" s="526">
        <f>BB12*'3 Saalis'!CS142</f>
        <v>0</v>
      </c>
      <c r="EU12" s="526">
        <f>BC12*'3 Saalis'!CT142</f>
        <v>0</v>
      </c>
      <c r="EV12" s="526">
        <f>BD12*'3 Saalis'!CU142</f>
        <v>0</v>
      </c>
      <c r="EW12" s="527">
        <f>BE12*'3 Saalis'!CV142</f>
        <v>0</v>
      </c>
    </row>
    <row r="13" spans="2:153" ht="13.5" thickBot="1" x14ac:dyDescent="0.25">
      <c r="B13" s="57" t="s">
        <v>121</v>
      </c>
      <c r="C13" s="59"/>
      <c r="D13" s="1526">
        <v>0.9</v>
      </c>
      <c r="E13" s="125"/>
      <c r="F13" s="1528">
        <v>0.5</v>
      </c>
      <c r="I13" s="15"/>
      <c r="M13" s="106"/>
      <c r="AC13" s="35"/>
      <c r="AS13" s="106"/>
      <c r="BW13"/>
      <c r="BX13"/>
      <c r="CM13"/>
      <c r="CN13"/>
      <c r="DE13" s="106"/>
      <c r="DF13" s="106"/>
      <c r="DG13" s="106"/>
      <c r="DH13" s="106"/>
      <c r="DI13" s="106"/>
      <c r="DJ13" s="106"/>
      <c r="DK13" s="106"/>
      <c r="DL13" s="106"/>
      <c r="DM13" s="106"/>
      <c r="DN13" s="106"/>
      <c r="DO13" s="106"/>
      <c r="DP13" s="106"/>
      <c r="DQ13" s="106"/>
      <c r="DU13" s="106"/>
      <c r="DV13" s="106"/>
      <c r="DW13" s="106"/>
      <c r="DX13" s="106"/>
      <c r="DY13" s="106"/>
      <c r="DZ13" s="106"/>
      <c r="EA13" s="106"/>
      <c r="EB13" s="106"/>
      <c r="EC13" s="106"/>
      <c r="ED13" s="106"/>
      <c r="EE13" s="106"/>
      <c r="EF13" s="106"/>
      <c r="EG13" s="106"/>
      <c r="EK13" s="106"/>
      <c r="EL13" s="106"/>
      <c r="EM13" s="106"/>
      <c r="EN13" s="106"/>
      <c r="EO13" s="106"/>
      <c r="EP13" s="106"/>
      <c r="EQ13" s="106"/>
      <c r="ER13" s="106"/>
      <c r="ES13" s="106"/>
      <c r="ET13" s="106"/>
      <c r="EU13" s="106"/>
      <c r="EV13" s="106"/>
      <c r="EW13" s="106"/>
    </row>
    <row r="14" spans="2:153" ht="13.5" thickBot="1" x14ac:dyDescent="0.25">
      <c r="B14" s="57" t="s">
        <v>122</v>
      </c>
      <c r="C14" s="59"/>
      <c r="D14" s="1526">
        <v>0.9</v>
      </c>
      <c r="E14" s="125"/>
      <c r="F14" s="1528">
        <v>0.5</v>
      </c>
      <c r="I14" s="15"/>
      <c r="K14" s="5" t="s">
        <v>75</v>
      </c>
      <c r="L14" s="36"/>
      <c r="M14" s="136" t="str">
        <f>'4 Myynti'!D56</f>
        <v>Koko</v>
      </c>
      <c r="N14" s="47">
        <f>'4 Myynti'!E56</f>
        <v>0</v>
      </c>
      <c r="O14" s="48">
        <f>'4 Myynti'!F56</f>
        <v>0</v>
      </c>
      <c r="P14" s="48">
        <f>'4 Myynti'!G56</f>
        <v>0</v>
      </c>
      <c r="Q14" s="48">
        <f>'4 Myynti'!H56</f>
        <v>0</v>
      </c>
      <c r="R14" s="48">
        <f>'4 Myynti'!I56</f>
        <v>0</v>
      </c>
      <c r="S14" s="41" t="str">
        <f>'4 Myynti'!J56</f>
        <v>Kuukausittain</v>
      </c>
      <c r="T14" s="48"/>
      <c r="U14" s="48">
        <f>'4 Myynti'!L56</f>
        <v>0</v>
      </c>
      <c r="V14" s="48">
        <f>'4 Myynti'!M56</f>
        <v>0</v>
      </c>
      <c r="W14" s="48">
        <f>'4 Myynti'!N56</f>
        <v>0</v>
      </c>
      <c r="X14" s="48">
        <f>'4 Myynti'!O56</f>
        <v>0</v>
      </c>
      <c r="Y14" s="49">
        <f>'4 Myynti'!P56</f>
        <v>0</v>
      </c>
      <c r="AA14" s="5" t="s">
        <v>75</v>
      </c>
      <c r="AB14" s="36"/>
      <c r="AC14" s="1165" t="s">
        <v>40</v>
      </c>
      <c r="AD14" s="137">
        <v>0</v>
      </c>
      <c r="AE14" s="138">
        <v>0</v>
      </c>
      <c r="AF14" s="138">
        <v>0</v>
      </c>
      <c r="AG14" s="138">
        <v>0</v>
      </c>
      <c r="AH14" s="138">
        <v>0</v>
      </c>
      <c r="AI14" s="139" t="s">
        <v>42</v>
      </c>
      <c r="AJ14" s="138"/>
      <c r="AK14" s="138">
        <v>0</v>
      </c>
      <c r="AL14" s="138">
        <v>0</v>
      </c>
      <c r="AM14" s="138">
        <v>0</v>
      </c>
      <c r="AN14" s="138">
        <v>0</v>
      </c>
      <c r="AO14" s="140">
        <v>0</v>
      </c>
      <c r="AQ14" s="5" t="s">
        <v>75</v>
      </c>
      <c r="AR14" s="36"/>
      <c r="AS14" s="136" t="s">
        <v>40</v>
      </c>
      <c r="AT14" s="137">
        <v>0</v>
      </c>
      <c r="AU14" s="138">
        <v>0</v>
      </c>
      <c r="AV14" s="138">
        <v>0</v>
      </c>
      <c r="AW14" s="138">
        <v>0</v>
      </c>
      <c r="AX14" s="138">
        <v>0</v>
      </c>
      <c r="AY14" s="139" t="s">
        <v>42</v>
      </c>
      <c r="AZ14" s="138"/>
      <c r="BA14" s="138">
        <v>0</v>
      </c>
      <c r="BB14" s="138">
        <v>0</v>
      </c>
      <c r="BC14" s="138">
        <v>0</v>
      </c>
      <c r="BD14" s="138">
        <v>0</v>
      </c>
      <c r="BE14" s="140">
        <v>0</v>
      </c>
      <c r="BG14" s="5" t="s">
        <v>75</v>
      </c>
      <c r="BH14" s="36"/>
      <c r="BI14" s="136" t="s">
        <v>40</v>
      </c>
      <c r="BJ14" s="137">
        <v>0</v>
      </c>
      <c r="BK14" s="138">
        <v>0</v>
      </c>
      <c r="BL14" s="138">
        <v>0</v>
      </c>
      <c r="BM14" s="138">
        <v>0</v>
      </c>
      <c r="BN14" s="138">
        <v>0</v>
      </c>
      <c r="BO14" s="139" t="s">
        <v>42</v>
      </c>
      <c r="BP14" s="138"/>
      <c r="BQ14" s="138">
        <v>0</v>
      </c>
      <c r="BR14" s="138">
        <v>0</v>
      </c>
      <c r="BS14" s="138">
        <v>0</v>
      </c>
      <c r="BT14" s="138">
        <v>0</v>
      </c>
      <c r="BU14" s="140">
        <v>0</v>
      </c>
      <c r="BW14" s="5" t="s">
        <v>75</v>
      </c>
      <c r="BX14" s="36"/>
      <c r="BY14" s="136" t="s">
        <v>40</v>
      </c>
      <c r="BZ14" s="137">
        <v>0</v>
      </c>
      <c r="CA14" s="138">
        <v>0</v>
      </c>
      <c r="CB14" s="138">
        <v>0</v>
      </c>
      <c r="CC14" s="138">
        <v>0</v>
      </c>
      <c r="CD14" s="138">
        <v>0</v>
      </c>
      <c r="CE14" s="139" t="s">
        <v>42</v>
      </c>
      <c r="CF14" s="138"/>
      <c r="CG14" s="138">
        <v>0</v>
      </c>
      <c r="CH14" s="138">
        <v>0</v>
      </c>
      <c r="CI14" s="138">
        <v>0</v>
      </c>
      <c r="CJ14" s="138">
        <v>0</v>
      </c>
      <c r="CK14" s="140">
        <v>0</v>
      </c>
      <c r="CM14" s="5" t="s">
        <v>75</v>
      </c>
      <c r="CN14" s="36"/>
      <c r="CO14" s="136" t="s">
        <v>40</v>
      </c>
      <c r="CP14" s="137">
        <v>0</v>
      </c>
      <c r="CQ14" s="138">
        <v>0</v>
      </c>
      <c r="CR14" s="138">
        <v>0</v>
      </c>
      <c r="CS14" s="138">
        <v>0</v>
      </c>
      <c r="CT14" s="138">
        <v>0</v>
      </c>
      <c r="CU14" s="139" t="s">
        <v>42</v>
      </c>
      <c r="CV14" s="138"/>
      <c r="CW14" s="138">
        <v>0</v>
      </c>
      <c r="CX14" s="138">
        <v>0</v>
      </c>
      <c r="CY14" s="138">
        <v>0</v>
      </c>
      <c r="CZ14" s="138">
        <v>0</v>
      </c>
      <c r="DA14" s="140">
        <v>0</v>
      </c>
      <c r="DC14" s="5" t="s">
        <v>75</v>
      </c>
      <c r="DD14" s="36"/>
      <c r="DE14" s="136" t="s">
        <v>40</v>
      </c>
      <c r="DF14" s="137">
        <v>0</v>
      </c>
      <c r="DG14" s="138">
        <v>0</v>
      </c>
      <c r="DH14" s="138">
        <v>0</v>
      </c>
      <c r="DI14" s="138">
        <v>0</v>
      </c>
      <c r="DJ14" s="138">
        <v>0</v>
      </c>
      <c r="DK14" s="139" t="s">
        <v>42</v>
      </c>
      <c r="DL14" s="138"/>
      <c r="DM14" s="138">
        <v>0</v>
      </c>
      <c r="DN14" s="138">
        <v>0</v>
      </c>
      <c r="DO14" s="138">
        <v>0</v>
      </c>
      <c r="DP14" s="138">
        <v>0</v>
      </c>
      <c r="DQ14" s="140">
        <v>0</v>
      </c>
      <c r="DS14" s="5" t="s">
        <v>75</v>
      </c>
      <c r="DT14" s="36"/>
      <c r="DU14" s="136" t="s">
        <v>40</v>
      </c>
      <c r="DV14" s="137">
        <v>0</v>
      </c>
      <c r="DW14" s="138">
        <v>0</v>
      </c>
      <c r="DX14" s="138">
        <v>0</v>
      </c>
      <c r="DY14" s="138">
        <v>0</v>
      </c>
      <c r="DZ14" s="138">
        <v>0</v>
      </c>
      <c r="EA14" s="139" t="s">
        <v>42</v>
      </c>
      <c r="EB14" s="138"/>
      <c r="EC14" s="138">
        <v>0</v>
      </c>
      <c r="ED14" s="138">
        <v>0</v>
      </c>
      <c r="EE14" s="138">
        <v>0</v>
      </c>
      <c r="EF14" s="138">
        <v>0</v>
      </c>
      <c r="EG14" s="140">
        <v>0</v>
      </c>
      <c r="EI14" s="5" t="s">
        <v>75</v>
      </c>
      <c r="EJ14" s="36"/>
      <c r="EK14" s="136" t="s">
        <v>40</v>
      </c>
      <c r="EL14" s="137">
        <v>0</v>
      </c>
      <c r="EM14" s="138">
        <v>0</v>
      </c>
      <c r="EN14" s="138">
        <v>0</v>
      </c>
      <c r="EO14" s="138">
        <v>0</v>
      </c>
      <c r="EP14" s="138">
        <v>0</v>
      </c>
      <c r="EQ14" s="139" t="s">
        <v>42</v>
      </c>
      <c r="ER14" s="138"/>
      <c r="ES14" s="138">
        <v>0</v>
      </c>
      <c r="ET14" s="138">
        <v>0</v>
      </c>
      <c r="EU14" s="138">
        <v>0</v>
      </c>
      <c r="EV14" s="138">
        <v>0</v>
      </c>
      <c r="EW14" s="140">
        <v>0</v>
      </c>
    </row>
    <row r="15" spans="2:153" ht="13.5" thickBot="1" x14ac:dyDescent="0.25">
      <c r="B15" s="57" t="s">
        <v>104</v>
      </c>
      <c r="C15" s="59"/>
      <c r="D15" s="1526">
        <v>0.8</v>
      </c>
      <c r="E15" s="125"/>
      <c r="F15" s="1528">
        <v>0.4</v>
      </c>
      <c r="I15" s="15"/>
      <c r="K15" s="40"/>
      <c r="L15" s="56"/>
      <c r="M15" s="141" t="str">
        <f>'4 Myynti'!D57</f>
        <v>kausi</v>
      </c>
      <c r="N15" s="72">
        <f>'4 Myynti'!E57</f>
        <v>1</v>
      </c>
      <c r="O15" s="70">
        <f>'4 Myynti'!F57</f>
        <v>2</v>
      </c>
      <c r="P15" s="70">
        <f>'4 Myynti'!G57</f>
        <v>3</v>
      </c>
      <c r="Q15" s="70">
        <f>'4 Myynti'!H57</f>
        <v>4</v>
      </c>
      <c r="R15" s="70">
        <f>'4 Myynti'!I57</f>
        <v>5</v>
      </c>
      <c r="S15" s="70">
        <f>'4 Myynti'!J57</f>
        <v>6</v>
      </c>
      <c r="T15" s="70">
        <f>'4 Myynti'!K57</f>
        <v>7</v>
      </c>
      <c r="U15" s="70">
        <f>'4 Myynti'!L57</f>
        <v>8</v>
      </c>
      <c r="V15" s="70">
        <f>'4 Myynti'!M57</f>
        <v>9</v>
      </c>
      <c r="W15" s="70">
        <f>'4 Myynti'!N57</f>
        <v>10</v>
      </c>
      <c r="X15" s="70">
        <f>'4 Myynti'!O57</f>
        <v>11</v>
      </c>
      <c r="Y15" s="71">
        <f>'4 Myynti'!P57</f>
        <v>12</v>
      </c>
      <c r="AA15" s="57"/>
      <c r="AB15" s="59"/>
      <c r="AC15" s="1166" t="s">
        <v>41</v>
      </c>
      <c r="AD15" s="142">
        <v>1</v>
      </c>
      <c r="AE15" s="143">
        <v>2</v>
      </c>
      <c r="AF15" s="143">
        <v>3</v>
      </c>
      <c r="AG15" s="143">
        <v>4</v>
      </c>
      <c r="AH15" s="143">
        <v>5</v>
      </c>
      <c r="AI15" s="143">
        <v>6</v>
      </c>
      <c r="AJ15" s="143">
        <v>7</v>
      </c>
      <c r="AK15" s="143">
        <v>8</v>
      </c>
      <c r="AL15" s="143">
        <v>9</v>
      </c>
      <c r="AM15" s="143">
        <v>10</v>
      </c>
      <c r="AN15" s="143">
        <v>11</v>
      </c>
      <c r="AO15" s="144">
        <v>12</v>
      </c>
      <c r="AQ15" s="57"/>
      <c r="AR15" s="59"/>
      <c r="AS15" s="141" t="s">
        <v>41</v>
      </c>
      <c r="AT15" s="142">
        <v>1</v>
      </c>
      <c r="AU15" s="143">
        <v>2</v>
      </c>
      <c r="AV15" s="143">
        <v>3</v>
      </c>
      <c r="AW15" s="143">
        <v>4</v>
      </c>
      <c r="AX15" s="143">
        <v>5</v>
      </c>
      <c r="AY15" s="143">
        <v>6</v>
      </c>
      <c r="AZ15" s="143">
        <v>7</v>
      </c>
      <c r="BA15" s="143">
        <v>8</v>
      </c>
      <c r="BB15" s="143">
        <v>9</v>
      </c>
      <c r="BC15" s="143">
        <v>10</v>
      </c>
      <c r="BD15" s="143">
        <v>11</v>
      </c>
      <c r="BE15" s="144">
        <v>12</v>
      </c>
      <c r="BG15" s="57"/>
      <c r="BH15" s="59"/>
      <c r="BI15" s="141" t="s">
        <v>41</v>
      </c>
      <c r="BJ15" s="142">
        <v>1</v>
      </c>
      <c r="BK15" s="143">
        <v>2</v>
      </c>
      <c r="BL15" s="143">
        <v>3</v>
      </c>
      <c r="BM15" s="143">
        <v>4</v>
      </c>
      <c r="BN15" s="143">
        <v>5</v>
      </c>
      <c r="BO15" s="143">
        <v>6</v>
      </c>
      <c r="BP15" s="143">
        <v>7</v>
      </c>
      <c r="BQ15" s="143">
        <v>8</v>
      </c>
      <c r="BR15" s="143">
        <v>9</v>
      </c>
      <c r="BS15" s="143">
        <v>10</v>
      </c>
      <c r="BT15" s="143">
        <v>11</v>
      </c>
      <c r="BU15" s="144">
        <v>12</v>
      </c>
      <c r="BW15" s="57"/>
      <c r="BX15" s="59"/>
      <c r="BY15" s="141" t="s">
        <v>41</v>
      </c>
      <c r="BZ15" s="142">
        <v>1</v>
      </c>
      <c r="CA15" s="143">
        <v>2</v>
      </c>
      <c r="CB15" s="143">
        <v>3</v>
      </c>
      <c r="CC15" s="143">
        <v>4</v>
      </c>
      <c r="CD15" s="143">
        <v>5</v>
      </c>
      <c r="CE15" s="143">
        <v>6</v>
      </c>
      <c r="CF15" s="143">
        <v>7</v>
      </c>
      <c r="CG15" s="143">
        <v>8</v>
      </c>
      <c r="CH15" s="143">
        <v>9</v>
      </c>
      <c r="CI15" s="143">
        <v>10</v>
      </c>
      <c r="CJ15" s="143">
        <v>11</v>
      </c>
      <c r="CK15" s="144">
        <v>12</v>
      </c>
      <c r="CM15" s="57"/>
      <c r="CN15" s="59"/>
      <c r="CO15" s="141" t="s">
        <v>41</v>
      </c>
      <c r="CP15" s="142">
        <v>1</v>
      </c>
      <c r="CQ15" s="143">
        <v>2</v>
      </c>
      <c r="CR15" s="143">
        <v>3</v>
      </c>
      <c r="CS15" s="143">
        <v>4</v>
      </c>
      <c r="CT15" s="143">
        <v>5</v>
      </c>
      <c r="CU15" s="143">
        <v>6</v>
      </c>
      <c r="CV15" s="143">
        <v>7</v>
      </c>
      <c r="CW15" s="143">
        <v>8</v>
      </c>
      <c r="CX15" s="143">
        <v>9</v>
      </c>
      <c r="CY15" s="143">
        <v>10</v>
      </c>
      <c r="CZ15" s="143">
        <v>11</v>
      </c>
      <c r="DA15" s="144">
        <v>12</v>
      </c>
      <c r="DC15" s="57"/>
      <c r="DD15" s="59"/>
      <c r="DE15" s="141" t="s">
        <v>41</v>
      </c>
      <c r="DF15" s="142">
        <v>1</v>
      </c>
      <c r="DG15" s="143">
        <v>2</v>
      </c>
      <c r="DH15" s="143">
        <v>3</v>
      </c>
      <c r="DI15" s="143">
        <v>4</v>
      </c>
      <c r="DJ15" s="143">
        <v>5</v>
      </c>
      <c r="DK15" s="143">
        <v>6</v>
      </c>
      <c r="DL15" s="143">
        <v>7</v>
      </c>
      <c r="DM15" s="143">
        <v>8</v>
      </c>
      <c r="DN15" s="143">
        <v>9</v>
      </c>
      <c r="DO15" s="143">
        <v>10</v>
      </c>
      <c r="DP15" s="143">
        <v>11</v>
      </c>
      <c r="DQ15" s="144">
        <v>12</v>
      </c>
      <c r="DS15" s="57"/>
      <c r="DT15" s="59"/>
      <c r="DU15" s="141" t="s">
        <v>41</v>
      </c>
      <c r="DV15" s="142">
        <v>1</v>
      </c>
      <c r="DW15" s="143">
        <v>2</v>
      </c>
      <c r="DX15" s="143">
        <v>3</v>
      </c>
      <c r="DY15" s="143">
        <v>4</v>
      </c>
      <c r="DZ15" s="143">
        <v>5</v>
      </c>
      <c r="EA15" s="143">
        <v>6</v>
      </c>
      <c r="EB15" s="143">
        <v>7</v>
      </c>
      <c r="EC15" s="143">
        <v>8</v>
      </c>
      <c r="ED15" s="143">
        <v>9</v>
      </c>
      <c r="EE15" s="143">
        <v>10</v>
      </c>
      <c r="EF15" s="143">
        <v>11</v>
      </c>
      <c r="EG15" s="144">
        <v>12</v>
      </c>
      <c r="EI15" s="57"/>
      <c r="EJ15" s="59"/>
      <c r="EK15" s="141" t="s">
        <v>41</v>
      </c>
      <c r="EL15" s="142">
        <v>1</v>
      </c>
      <c r="EM15" s="143">
        <v>2</v>
      </c>
      <c r="EN15" s="143">
        <v>3</v>
      </c>
      <c r="EO15" s="143">
        <v>4</v>
      </c>
      <c r="EP15" s="143">
        <v>5</v>
      </c>
      <c r="EQ15" s="143">
        <v>6</v>
      </c>
      <c r="ER15" s="143">
        <v>7</v>
      </c>
      <c r="ES15" s="143">
        <v>8</v>
      </c>
      <c r="ET15" s="143">
        <v>9</v>
      </c>
      <c r="EU15" s="143">
        <v>10</v>
      </c>
      <c r="EV15" s="143">
        <v>11</v>
      </c>
      <c r="EW15" s="144">
        <v>12</v>
      </c>
    </row>
    <row r="16" spans="2:153" x14ac:dyDescent="0.2">
      <c r="B16" s="57" t="s">
        <v>105</v>
      </c>
      <c r="C16" s="59"/>
      <c r="D16" s="1526">
        <v>0.8</v>
      </c>
      <c r="E16" s="1528">
        <v>0.75</v>
      </c>
      <c r="F16" s="1528">
        <v>0.3</v>
      </c>
      <c r="I16" s="15"/>
      <c r="K16" s="57" t="s">
        <v>110</v>
      </c>
      <c r="L16" s="68"/>
      <c r="M16" s="425">
        <f>SUM(N16:Y16)</f>
        <v>0</v>
      </c>
      <c r="N16" s="499">
        <f>'4 Myynti'!E60+'4 Myynti'!E63</f>
        <v>0</v>
      </c>
      <c r="O16" s="499">
        <f>'4 Myynti'!F60+'4 Myynti'!F63</f>
        <v>0</v>
      </c>
      <c r="P16" s="499">
        <f>'4 Myynti'!G60+'4 Myynti'!G63</f>
        <v>0</v>
      </c>
      <c r="Q16" s="499">
        <f>'4 Myynti'!H60+'4 Myynti'!H63</f>
        <v>0</v>
      </c>
      <c r="R16" s="499">
        <f>'4 Myynti'!I60+'4 Myynti'!I63</f>
        <v>0</v>
      </c>
      <c r="S16" s="499">
        <f>'4 Myynti'!J60+'4 Myynti'!J63</f>
        <v>0</v>
      </c>
      <c r="T16" s="499">
        <f>'4 Myynti'!K60+'4 Myynti'!K63</f>
        <v>0</v>
      </c>
      <c r="U16" s="499">
        <f>'4 Myynti'!L60+'4 Myynti'!L63</f>
        <v>0</v>
      </c>
      <c r="V16" s="499">
        <f>'4 Myynti'!M60+'4 Myynti'!M63</f>
        <v>0</v>
      </c>
      <c r="W16" s="499">
        <f>'4 Myynti'!N60+'4 Myynti'!N63</f>
        <v>0</v>
      </c>
      <c r="X16" s="499">
        <f>'4 Myynti'!O60+'4 Myynti'!O63</f>
        <v>0</v>
      </c>
      <c r="Y16" s="499">
        <f>'4 Myynti'!P60+'4 Myynti'!P63</f>
        <v>0</v>
      </c>
      <c r="AA16" s="5" t="s">
        <v>110</v>
      </c>
      <c r="AB16" s="13"/>
      <c r="AC16" s="1390">
        <f>SUM(AD16:AO16)</f>
        <v>0</v>
      </c>
      <c r="AD16" s="499">
        <f>$C$30*N16/100*$D$30</f>
        <v>0</v>
      </c>
      <c r="AE16" s="499">
        <f t="shared" ref="AE16:AO16" si="2">$C$30*O16/100*$D$30</f>
        <v>0</v>
      </c>
      <c r="AF16" s="499">
        <f t="shared" si="2"/>
        <v>0</v>
      </c>
      <c r="AG16" s="499">
        <f t="shared" si="2"/>
        <v>0</v>
      </c>
      <c r="AH16" s="499">
        <f t="shared" si="2"/>
        <v>0</v>
      </c>
      <c r="AI16" s="499">
        <f t="shared" si="2"/>
        <v>0</v>
      </c>
      <c r="AJ16" s="499">
        <f t="shared" si="2"/>
        <v>0</v>
      </c>
      <c r="AK16" s="499">
        <f t="shared" si="2"/>
        <v>0</v>
      </c>
      <c r="AL16" s="499">
        <f t="shared" si="2"/>
        <v>0</v>
      </c>
      <c r="AM16" s="499">
        <f t="shared" si="2"/>
        <v>0</v>
      </c>
      <c r="AN16" s="499">
        <f t="shared" si="2"/>
        <v>0</v>
      </c>
      <c r="AO16" s="499">
        <f t="shared" si="2"/>
        <v>0</v>
      </c>
      <c r="AQ16" s="5" t="s">
        <v>110</v>
      </c>
      <c r="AR16" s="13"/>
      <c r="AS16" s="425">
        <f>SUM(AT16:BE16)</f>
        <v>0</v>
      </c>
      <c r="AT16" s="499">
        <f>AD16*'11. Työtunnit'!$C$7</f>
        <v>0</v>
      </c>
      <c r="AU16" s="499">
        <f>AE16*'11. Työtunnit'!$C$7</f>
        <v>0</v>
      </c>
      <c r="AV16" s="499">
        <f>AF16*'11. Työtunnit'!$C$7</f>
        <v>0</v>
      </c>
      <c r="AW16" s="499">
        <f>AG16*'11. Työtunnit'!$C$7</f>
        <v>0</v>
      </c>
      <c r="AX16" s="499">
        <f>AH16*'11. Työtunnit'!$C$7</f>
        <v>0</v>
      </c>
      <c r="AY16" s="499">
        <f>AI16*'11. Työtunnit'!$C$7</f>
        <v>0</v>
      </c>
      <c r="AZ16" s="499">
        <f>AJ16*'11. Työtunnit'!$C$7</f>
        <v>0</v>
      </c>
      <c r="BA16" s="499">
        <f>AK16*'11. Työtunnit'!$C$7</f>
        <v>0</v>
      </c>
      <c r="BB16" s="499">
        <f>AL16*'11. Työtunnit'!$C$7</f>
        <v>0</v>
      </c>
      <c r="BC16" s="499">
        <f>AM16*'11. Työtunnit'!$C$7</f>
        <v>0</v>
      </c>
      <c r="BD16" s="499">
        <f>AN16*'11. Työtunnit'!$C$7</f>
        <v>0</v>
      </c>
      <c r="BE16" s="499">
        <f>AO16*'11. Työtunnit'!$C$7</f>
        <v>0</v>
      </c>
      <c r="BG16" s="5" t="s">
        <v>110</v>
      </c>
      <c r="BH16" s="13"/>
      <c r="BI16" s="425">
        <f>SUM(BJ16:BU16)</f>
        <v>0</v>
      </c>
      <c r="BJ16" s="499">
        <f>AT16*'3 Saalis'!CK33</f>
        <v>0</v>
      </c>
      <c r="BK16" s="499">
        <f>AU16*'3 Saalis'!CL33</f>
        <v>0</v>
      </c>
      <c r="BL16" s="499">
        <f>AV16*'3 Saalis'!CM33</f>
        <v>0</v>
      </c>
      <c r="BM16" s="499">
        <f>AW16*'3 Saalis'!CN33</f>
        <v>0</v>
      </c>
      <c r="BN16" s="499">
        <f>AX16*'3 Saalis'!CO33</f>
        <v>0</v>
      </c>
      <c r="BO16" s="499">
        <f>AY16*'3 Saalis'!CP33</f>
        <v>0</v>
      </c>
      <c r="BP16" s="499">
        <f>AZ16*'3 Saalis'!CQ33</f>
        <v>0</v>
      </c>
      <c r="BQ16" s="499">
        <f>BA16*'3 Saalis'!CR33</f>
        <v>0</v>
      </c>
      <c r="BR16" s="499">
        <f>BB16*'3 Saalis'!CS33</f>
        <v>0</v>
      </c>
      <c r="BS16" s="499">
        <f>BC16*'3 Saalis'!CT33</f>
        <v>0</v>
      </c>
      <c r="BT16" s="499">
        <f>BD16*'3 Saalis'!CU33</f>
        <v>0</v>
      </c>
      <c r="BU16" s="499">
        <f>BE16*'3 Saalis'!CV33</f>
        <v>0</v>
      </c>
      <c r="BW16" s="5" t="s">
        <v>110</v>
      </c>
      <c r="BX16" s="13"/>
      <c r="BY16" s="425">
        <f>SUM(BZ16:CK16)</f>
        <v>0</v>
      </c>
      <c r="BZ16" s="499">
        <f>AT16*'3 Saalis'!CK55</f>
        <v>0</v>
      </c>
      <c r="CA16" s="499">
        <f>AU16*'3 Saalis'!CL55</f>
        <v>0</v>
      </c>
      <c r="CB16" s="499">
        <f>AV16*'3 Saalis'!CM55</f>
        <v>0</v>
      </c>
      <c r="CC16" s="499">
        <f>AW16*'3 Saalis'!CN55</f>
        <v>0</v>
      </c>
      <c r="CD16" s="499">
        <f>AX16*'3 Saalis'!CO55</f>
        <v>0</v>
      </c>
      <c r="CE16" s="499">
        <f>AY16*'3 Saalis'!CP55</f>
        <v>0</v>
      </c>
      <c r="CF16" s="499">
        <f>AZ16*'3 Saalis'!CQ55</f>
        <v>0</v>
      </c>
      <c r="CG16" s="499">
        <f>BA16*'3 Saalis'!CR55</f>
        <v>0</v>
      </c>
      <c r="CH16" s="499">
        <f>BB16*'3 Saalis'!CS55</f>
        <v>0</v>
      </c>
      <c r="CI16" s="499">
        <f>BC16*'3 Saalis'!CT55</f>
        <v>0</v>
      </c>
      <c r="CJ16" s="499">
        <f>BD16*'3 Saalis'!CU55</f>
        <v>0</v>
      </c>
      <c r="CK16" s="499">
        <f>BE16*'3 Saalis'!CV55</f>
        <v>0</v>
      </c>
      <c r="CM16" s="5" t="s">
        <v>110</v>
      </c>
      <c r="CN16" s="13"/>
      <c r="CO16" s="425">
        <f>SUM(CP16:DA16)</f>
        <v>0</v>
      </c>
      <c r="CP16" s="499">
        <f>'3 Saalis'!CK77*'5 Kalan alkukäsittely satamassa'!AT16</f>
        <v>0</v>
      </c>
      <c r="CQ16" s="499">
        <f>'3 Saalis'!CL77*'5 Kalan alkukäsittely satamassa'!AU16</f>
        <v>0</v>
      </c>
      <c r="CR16" s="499">
        <f>'3 Saalis'!CM77*'5 Kalan alkukäsittely satamassa'!AV16</f>
        <v>0</v>
      </c>
      <c r="CS16" s="499">
        <f>'3 Saalis'!CN77*'5 Kalan alkukäsittely satamassa'!AW16</f>
        <v>0</v>
      </c>
      <c r="CT16" s="499">
        <f>'3 Saalis'!CO77*'5 Kalan alkukäsittely satamassa'!AX16</f>
        <v>0</v>
      </c>
      <c r="CU16" s="499">
        <f>'3 Saalis'!CP77*'5 Kalan alkukäsittely satamassa'!AY16</f>
        <v>0</v>
      </c>
      <c r="CV16" s="499">
        <f>'3 Saalis'!CQ77*'5 Kalan alkukäsittely satamassa'!AZ16</f>
        <v>0</v>
      </c>
      <c r="CW16" s="499">
        <f>'3 Saalis'!CR77*'5 Kalan alkukäsittely satamassa'!BA16</f>
        <v>0</v>
      </c>
      <c r="CX16" s="499">
        <f>'3 Saalis'!CS77*'5 Kalan alkukäsittely satamassa'!BB16</f>
        <v>0</v>
      </c>
      <c r="CY16" s="499">
        <f>'3 Saalis'!CT77*'5 Kalan alkukäsittely satamassa'!BC16</f>
        <v>0</v>
      </c>
      <c r="CZ16" s="499">
        <f>'3 Saalis'!CU77*'5 Kalan alkukäsittely satamassa'!BD16</f>
        <v>0</v>
      </c>
      <c r="DA16" s="499">
        <f>'3 Saalis'!CV77*'5 Kalan alkukäsittely satamassa'!BE16</f>
        <v>0</v>
      </c>
      <c r="DC16" s="5" t="s">
        <v>110</v>
      </c>
      <c r="DD16" s="13"/>
      <c r="DE16" s="425">
        <f>SUM(DF16:DQ16)</f>
        <v>0</v>
      </c>
      <c r="DF16" s="499">
        <f>'3 Saalis'!CK99*'5 Kalan alkukäsittely satamassa'!AT16</f>
        <v>0</v>
      </c>
      <c r="DG16" s="499">
        <f>'3 Saalis'!CL99*'5 Kalan alkukäsittely satamassa'!AU16</f>
        <v>0</v>
      </c>
      <c r="DH16" s="499">
        <f>'3 Saalis'!CM99*'5 Kalan alkukäsittely satamassa'!AV16</f>
        <v>0</v>
      </c>
      <c r="DI16" s="499">
        <f>'3 Saalis'!CN99*'5 Kalan alkukäsittely satamassa'!AW16</f>
        <v>0</v>
      </c>
      <c r="DJ16" s="499">
        <f>'3 Saalis'!CO99*'5 Kalan alkukäsittely satamassa'!AX16</f>
        <v>0</v>
      </c>
      <c r="DK16" s="499">
        <f>'3 Saalis'!CP99*'5 Kalan alkukäsittely satamassa'!AY16</f>
        <v>0</v>
      </c>
      <c r="DL16" s="499">
        <f>'3 Saalis'!CQ99*'5 Kalan alkukäsittely satamassa'!AZ16</f>
        <v>0</v>
      </c>
      <c r="DM16" s="499">
        <f>'3 Saalis'!CR99*'5 Kalan alkukäsittely satamassa'!BA16</f>
        <v>0</v>
      </c>
      <c r="DN16" s="499">
        <f>'3 Saalis'!CS99*'5 Kalan alkukäsittely satamassa'!BB16</f>
        <v>0</v>
      </c>
      <c r="DO16" s="499">
        <f>'3 Saalis'!CT99*'5 Kalan alkukäsittely satamassa'!BC16</f>
        <v>0</v>
      </c>
      <c r="DP16" s="499">
        <f>'3 Saalis'!CU99*'5 Kalan alkukäsittely satamassa'!BD16</f>
        <v>0</v>
      </c>
      <c r="DQ16" s="499">
        <f>'3 Saalis'!CV99*'5 Kalan alkukäsittely satamassa'!BE16</f>
        <v>0</v>
      </c>
      <c r="DS16" s="5" t="s">
        <v>110</v>
      </c>
      <c r="DT16" s="13"/>
      <c r="DU16" s="425">
        <f>SUM(DV16:EG16)</f>
        <v>0</v>
      </c>
      <c r="DV16" s="499">
        <f>AT16*'3 Saalis'!CK121</f>
        <v>0</v>
      </c>
      <c r="DW16" s="499">
        <f>AU16*'3 Saalis'!CL121</f>
        <v>0</v>
      </c>
      <c r="DX16" s="499">
        <f>AV16*'3 Saalis'!CM121</f>
        <v>0</v>
      </c>
      <c r="DY16" s="499">
        <f>AW16*'3 Saalis'!CN121</f>
        <v>0</v>
      </c>
      <c r="DZ16" s="499">
        <f>AX16*'3 Saalis'!CO121</f>
        <v>0</v>
      </c>
      <c r="EA16" s="499">
        <f>AY16*'3 Saalis'!CP121</f>
        <v>0</v>
      </c>
      <c r="EB16" s="499">
        <f>AZ16*'3 Saalis'!CQ121</f>
        <v>0</v>
      </c>
      <c r="EC16" s="499">
        <f>BA16*'3 Saalis'!CR121</f>
        <v>0</v>
      </c>
      <c r="ED16" s="499">
        <f>BB16*'3 Saalis'!CS121</f>
        <v>0</v>
      </c>
      <c r="EE16" s="499">
        <f>BC16*'3 Saalis'!CT121</f>
        <v>0</v>
      </c>
      <c r="EF16" s="499">
        <f>BD16*'3 Saalis'!CU121</f>
        <v>0</v>
      </c>
      <c r="EG16" s="499">
        <f>BE16*'3 Saalis'!CV121</f>
        <v>0</v>
      </c>
      <c r="EI16" s="5" t="s">
        <v>110</v>
      </c>
      <c r="EJ16" s="13"/>
      <c r="EK16" s="425">
        <f>SUM(EL16:EW16)</f>
        <v>0</v>
      </c>
      <c r="EL16" s="499">
        <f>AT16*'3 Saalis'!CK143</f>
        <v>0</v>
      </c>
      <c r="EM16" s="499">
        <f>AU16*'3 Saalis'!CL143</f>
        <v>0</v>
      </c>
      <c r="EN16" s="499">
        <f>AV16*'3 Saalis'!CM143</f>
        <v>0</v>
      </c>
      <c r="EO16" s="499">
        <f>AW16*'3 Saalis'!CN143</f>
        <v>0</v>
      </c>
      <c r="EP16" s="499">
        <f>AX16*'3 Saalis'!CO143</f>
        <v>0</v>
      </c>
      <c r="EQ16" s="499">
        <f>AY16*'3 Saalis'!CP143</f>
        <v>0</v>
      </c>
      <c r="ER16" s="499">
        <f>AZ16*'3 Saalis'!CQ143</f>
        <v>0</v>
      </c>
      <c r="ES16" s="499">
        <f>BA16*'3 Saalis'!CR143</f>
        <v>0</v>
      </c>
      <c r="ET16" s="499">
        <f>BB16*'3 Saalis'!CS143</f>
        <v>0</v>
      </c>
      <c r="EU16" s="499">
        <f>BC16*'3 Saalis'!CT143</f>
        <v>0</v>
      </c>
      <c r="EV16" s="499">
        <f>BD16*'3 Saalis'!CU143</f>
        <v>0</v>
      </c>
      <c r="EW16" s="499">
        <f>BE16*'3 Saalis'!CV143</f>
        <v>0</v>
      </c>
    </row>
    <row r="17" spans="2:153" ht="13.5" thickBot="1" x14ac:dyDescent="0.25">
      <c r="B17" s="57" t="s">
        <v>106</v>
      </c>
      <c r="C17" s="59"/>
      <c r="D17" s="1526">
        <v>0.85</v>
      </c>
      <c r="E17" s="125"/>
      <c r="F17" s="1528">
        <v>0.7</v>
      </c>
      <c r="I17" s="15"/>
      <c r="K17" s="40" t="s">
        <v>111</v>
      </c>
      <c r="L17" s="76"/>
      <c r="M17" s="512">
        <f>SUM(N17:Y17)</f>
        <v>0</v>
      </c>
      <c r="N17" s="521">
        <f>'4 Myynti'!E61+'4 Myynti'!E64</f>
        <v>0</v>
      </c>
      <c r="O17" s="531">
        <f>'4 Myynti'!F61+'4 Myynti'!F64</f>
        <v>0</v>
      </c>
      <c r="P17" s="531">
        <f>'4 Myynti'!G61+'4 Myynti'!G64</f>
        <v>0</v>
      </c>
      <c r="Q17" s="531">
        <f>'4 Myynti'!H61+'4 Myynti'!H64</f>
        <v>0</v>
      </c>
      <c r="R17" s="531">
        <f>'4 Myynti'!I61+'4 Myynti'!I64</f>
        <v>0</v>
      </c>
      <c r="S17" s="531">
        <f>'4 Myynti'!J61+'4 Myynti'!J64</f>
        <v>0</v>
      </c>
      <c r="T17" s="531">
        <f>'4 Myynti'!K61+'4 Myynti'!K64</f>
        <v>0</v>
      </c>
      <c r="U17" s="531">
        <f>'4 Myynti'!L61+'4 Myynti'!L64</f>
        <v>0</v>
      </c>
      <c r="V17" s="531">
        <f>'4 Myynti'!M61+'4 Myynti'!M64</f>
        <v>0</v>
      </c>
      <c r="W17" s="531">
        <f>'4 Myynti'!N61+'4 Myynti'!N64</f>
        <v>0</v>
      </c>
      <c r="X17" s="531">
        <f>'4 Myynti'!O61+'4 Myynti'!O64</f>
        <v>0</v>
      </c>
      <c r="Y17" s="532">
        <f>'4 Myynti'!P61+'4 Myynti'!P64</f>
        <v>0</v>
      </c>
      <c r="AA17" s="40" t="s">
        <v>111</v>
      </c>
      <c r="AB17" s="76"/>
      <c r="AC17" s="1391">
        <f>SUM(AD17:AO17)</f>
        <v>0</v>
      </c>
      <c r="AD17" s="521">
        <f t="shared" ref="AD17:AO17" si="3">N17/100*$F$30</f>
        <v>0</v>
      </c>
      <c r="AE17" s="531">
        <f t="shared" si="3"/>
        <v>0</v>
      </c>
      <c r="AF17" s="531">
        <f t="shared" si="3"/>
        <v>0</v>
      </c>
      <c r="AG17" s="531">
        <f t="shared" si="3"/>
        <v>0</v>
      </c>
      <c r="AH17" s="531">
        <f t="shared" si="3"/>
        <v>0</v>
      </c>
      <c r="AI17" s="531">
        <f t="shared" si="3"/>
        <v>0</v>
      </c>
      <c r="AJ17" s="531">
        <f t="shared" si="3"/>
        <v>0</v>
      </c>
      <c r="AK17" s="531">
        <f t="shared" si="3"/>
        <v>0</v>
      </c>
      <c r="AL17" s="531">
        <f t="shared" si="3"/>
        <v>0</v>
      </c>
      <c r="AM17" s="531">
        <f t="shared" si="3"/>
        <v>0</v>
      </c>
      <c r="AN17" s="531">
        <f t="shared" si="3"/>
        <v>0</v>
      </c>
      <c r="AO17" s="532">
        <f t="shared" si="3"/>
        <v>0</v>
      </c>
      <c r="AQ17" s="40" t="s">
        <v>111</v>
      </c>
      <c r="AR17" s="76"/>
      <c r="AS17" s="512">
        <f>SUM(AT17:BE17)</f>
        <v>0</v>
      </c>
      <c r="AT17" s="521">
        <f>AD17*'11. Työtunnit'!$C$7</f>
        <v>0</v>
      </c>
      <c r="AU17" s="531">
        <f>AE17*'11. Työtunnit'!$C$7</f>
        <v>0</v>
      </c>
      <c r="AV17" s="531">
        <f>AF17*'11. Työtunnit'!$C$7</f>
        <v>0</v>
      </c>
      <c r="AW17" s="531">
        <f>AG17*'11. Työtunnit'!$C$7</f>
        <v>0</v>
      </c>
      <c r="AX17" s="531">
        <f>AH17*'11. Työtunnit'!$C$7</f>
        <v>0</v>
      </c>
      <c r="AY17" s="531">
        <f>AI17*'11. Työtunnit'!$C$7</f>
        <v>0</v>
      </c>
      <c r="AZ17" s="531">
        <f>AJ17*'11. Työtunnit'!$C$7</f>
        <v>0</v>
      </c>
      <c r="BA17" s="531">
        <f>AK17*'11. Työtunnit'!$C$7</f>
        <v>0</v>
      </c>
      <c r="BB17" s="531">
        <f>AL17*'11. Työtunnit'!$C$7</f>
        <v>0</v>
      </c>
      <c r="BC17" s="531">
        <f>AM17*'11. Työtunnit'!$C$7</f>
        <v>0</v>
      </c>
      <c r="BD17" s="531">
        <f>AN17*'11. Työtunnit'!$C$7</f>
        <v>0</v>
      </c>
      <c r="BE17" s="532">
        <f>AO17*'11. Työtunnit'!$C$7</f>
        <v>0</v>
      </c>
      <c r="BG17" s="40" t="s">
        <v>111</v>
      </c>
      <c r="BH17" s="76"/>
      <c r="BI17" s="512">
        <f>SUM(BJ17:BU17)</f>
        <v>0</v>
      </c>
      <c r="BJ17" s="521">
        <f>AT17*'3 Saalis'!CK33</f>
        <v>0</v>
      </c>
      <c r="BK17" s="531">
        <f>AU17*'3 Saalis'!CL33</f>
        <v>0</v>
      </c>
      <c r="BL17" s="531">
        <f>AV17*'3 Saalis'!CM33</f>
        <v>0</v>
      </c>
      <c r="BM17" s="531">
        <f>AW17*'3 Saalis'!CN33</f>
        <v>0</v>
      </c>
      <c r="BN17" s="531">
        <f>AX17*'3 Saalis'!CO33</f>
        <v>0</v>
      </c>
      <c r="BO17" s="531">
        <f>AY17*'3 Saalis'!CP33</f>
        <v>0</v>
      </c>
      <c r="BP17" s="531">
        <f>AZ17*'3 Saalis'!CQ33</f>
        <v>0</v>
      </c>
      <c r="BQ17" s="531">
        <f>BA17*'3 Saalis'!CR33</f>
        <v>0</v>
      </c>
      <c r="BR17" s="531">
        <f>BB17*'3 Saalis'!CS33</f>
        <v>0</v>
      </c>
      <c r="BS17" s="531">
        <f>BC17*'3 Saalis'!CT33</f>
        <v>0</v>
      </c>
      <c r="BT17" s="531">
        <f>BD17*'3 Saalis'!CU33</f>
        <v>0</v>
      </c>
      <c r="BU17" s="532">
        <f>BE17*'3 Saalis'!CV33</f>
        <v>0</v>
      </c>
      <c r="BW17" s="40" t="s">
        <v>111</v>
      </c>
      <c r="BX17" s="76"/>
      <c r="BY17" s="512">
        <f>SUM(BZ17:CK17)</f>
        <v>0</v>
      </c>
      <c r="BZ17" s="521">
        <f>AT17*'3 Saalis'!CK55</f>
        <v>0</v>
      </c>
      <c r="CA17" s="531">
        <f>AU17*'3 Saalis'!CL55</f>
        <v>0</v>
      </c>
      <c r="CB17" s="531">
        <f>AV17*'3 Saalis'!CM55</f>
        <v>0</v>
      </c>
      <c r="CC17" s="531">
        <f>AW17*'3 Saalis'!CN55</f>
        <v>0</v>
      </c>
      <c r="CD17" s="531">
        <f>AX17*'3 Saalis'!CO55</f>
        <v>0</v>
      </c>
      <c r="CE17" s="531">
        <f>AY17*'3 Saalis'!CP55</f>
        <v>0</v>
      </c>
      <c r="CF17" s="531">
        <f>AZ17*'3 Saalis'!CQ55</f>
        <v>0</v>
      </c>
      <c r="CG17" s="531">
        <f>BA17*'3 Saalis'!CR55</f>
        <v>0</v>
      </c>
      <c r="CH17" s="531">
        <f>BB17*'3 Saalis'!CS55</f>
        <v>0</v>
      </c>
      <c r="CI17" s="531">
        <f>BC17*'3 Saalis'!CT55</f>
        <v>0</v>
      </c>
      <c r="CJ17" s="531">
        <f>BD17*'3 Saalis'!CU55</f>
        <v>0</v>
      </c>
      <c r="CK17" s="532">
        <f>BE17*'3 Saalis'!CV55</f>
        <v>0</v>
      </c>
      <c r="CM17" s="40" t="s">
        <v>111</v>
      </c>
      <c r="CN17" s="76"/>
      <c r="CO17" s="512">
        <f>SUM(CP17:DA17)</f>
        <v>0</v>
      </c>
      <c r="CP17" s="521">
        <f>'3 Saalis'!CK77*'5 Kalan alkukäsittely satamassa'!AT17</f>
        <v>0</v>
      </c>
      <c r="CQ17" s="531">
        <f>'3 Saalis'!CL77*'5 Kalan alkukäsittely satamassa'!AU17</f>
        <v>0</v>
      </c>
      <c r="CR17" s="531">
        <f>'3 Saalis'!CM77*'5 Kalan alkukäsittely satamassa'!AV17</f>
        <v>0</v>
      </c>
      <c r="CS17" s="531">
        <f>'3 Saalis'!CN77*'5 Kalan alkukäsittely satamassa'!AW17</f>
        <v>0</v>
      </c>
      <c r="CT17" s="531">
        <f>'3 Saalis'!CO77*'5 Kalan alkukäsittely satamassa'!AX17</f>
        <v>0</v>
      </c>
      <c r="CU17" s="531">
        <f>'3 Saalis'!CP77*'5 Kalan alkukäsittely satamassa'!AY17</f>
        <v>0</v>
      </c>
      <c r="CV17" s="531">
        <f>'3 Saalis'!CQ77*'5 Kalan alkukäsittely satamassa'!AZ17</f>
        <v>0</v>
      </c>
      <c r="CW17" s="531">
        <f>'3 Saalis'!CR77*'5 Kalan alkukäsittely satamassa'!BA17</f>
        <v>0</v>
      </c>
      <c r="CX17" s="531">
        <f>'3 Saalis'!CS77*'5 Kalan alkukäsittely satamassa'!BB17</f>
        <v>0</v>
      </c>
      <c r="CY17" s="531">
        <f>'3 Saalis'!CT77*'5 Kalan alkukäsittely satamassa'!BC17</f>
        <v>0</v>
      </c>
      <c r="CZ17" s="531">
        <f>'3 Saalis'!CU77*'5 Kalan alkukäsittely satamassa'!BD17</f>
        <v>0</v>
      </c>
      <c r="DA17" s="532">
        <f>'3 Saalis'!CV77*'5 Kalan alkukäsittely satamassa'!BE17</f>
        <v>0</v>
      </c>
      <c r="DC17" s="40" t="s">
        <v>111</v>
      </c>
      <c r="DD17" s="76"/>
      <c r="DE17" s="512">
        <f>SUM(DF17:DQ17)</f>
        <v>0</v>
      </c>
      <c r="DF17" s="521">
        <f>'3 Saalis'!CK99*'5 Kalan alkukäsittely satamassa'!AT17</f>
        <v>0</v>
      </c>
      <c r="DG17" s="531">
        <f>'3 Saalis'!CL99*'5 Kalan alkukäsittely satamassa'!AU17</f>
        <v>0</v>
      </c>
      <c r="DH17" s="531">
        <f>'3 Saalis'!CM99*'5 Kalan alkukäsittely satamassa'!AV17</f>
        <v>0</v>
      </c>
      <c r="DI17" s="531">
        <f>'3 Saalis'!CN99*'5 Kalan alkukäsittely satamassa'!AW17</f>
        <v>0</v>
      </c>
      <c r="DJ17" s="531">
        <f>'3 Saalis'!CO99*'5 Kalan alkukäsittely satamassa'!AX17</f>
        <v>0</v>
      </c>
      <c r="DK17" s="531">
        <f>'3 Saalis'!CP99*'5 Kalan alkukäsittely satamassa'!AY17</f>
        <v>0</v>
      </c>
      <c r="DL17" s="531">
        <f>'3 Saalis'!CQ99*'5 Kalan alkukäsittely satamassa'!AZ17</f>
        <v>0</v>
      </c>
      <c r="DM17" s="531">
        <f>'3 Saalis'!CR99*'5 Kalan alkukäsittely satamassa'!BA17</f>
        <v>0</v>
      </c>
      <c r="DN17" s="531">
        <f>'3 Saalis'!CS99*'5 Kalan alkukäsittely satamassa'!BB17</f>
        <v>0</v>
      </c>
      <c r="DO17" s="531">
        <f>'3 Saalis'!CT99*'5 Kalan alkukäsittely satamassa'!BC17</f>
        <v>0</v>
      </c>
      <c r="DP17" s="531">
        <f>'3 Saalis'!CU99*'5 Kalan alkukäsittely satamassa'!BD17</f>
        <v>0</v>
      </c>
      <c r="DQ17" s="532">
        <f>'3 Saalis'!CV99*'5 Kalan alkukäsittely satamassa'!BE17</f>
        <v>0</v>
      </c>
      <c r="DS17" s="40" t="s">
        <v>111</v>
      </c>
      <c r="DT17" s="76"/>
      <c r="DU17" s="512">
        <f>SUM(DV17:EG17)</f>
        <v>0</v>
      </c>
      <c r="DV17" s="521">
        <f>AT17*'3 Saalis'!CK121</f>
        <v>0</v>
      </c>
      <c r="DW17" s="531">
        <f>AU17*'3 Saalis'!CL121</f>
        <v>0</v>
      </c>
      <c r="DX17" s="531">
        <f>AV17*'3 Saalis'!CM121</f>
        <v>0</v>
      </c>
      <c r="DY17" s="531">
        <f>AW17*'3 Saalis'!CN121</f>
        <v>0</v>
      </c>
      <c r="DZ17" s="531">
        <f>AX17*'3 Saalis'!CO121</f>
        <v>0</v>
      </c>
      <c r="EA17" s="531">
        <f>AY17*'3 Saalis'!CP121</f>
        <v>0</v>
      </c>
      <c r="EB17" s="531">
        <f>AZ17*'3 Saalis'!CQ121</f>
        <v>0</v>
      </c>
      <c r="EC17" s="531">
        <f>BA17*'3 Saalis'!CR121</f>
        <v>0</v>
      </c>
      <c r="ED17" s="531">
        <f>BB17*'3 Saalis'!CS121</f>
        <v>0</v>
      </c>
      <c r="EE17" s="531">
        <f>BC17*'3 Saalis'!CT121</f>
        <v>0</v>
      </c>
      <c r="EF17" s="531">
        <f>BD17*'3 Saalis'!CU121</f>
        <v>0</v>
      </c>
      <c r="EG17" s="532">
        <f>BE17*'3 Saalis'!CV121</f>
        <v>0</v>
      </c>
      <c r="EI17" s="40" t="s">
        <v>111</v>
      </c>
      <c r="EJ17" s="76"/>
      <c r="EK17" s="512">
        <f>SUM(EL17:EW17)</f>
        <v>0</v>
      </c>
      <c r="EL17" s="521">
        <f>AT17*'3 Saalis'!CK143</f>
        <v>0</v>
      </c>
      <c r="EM17" s="531">
        <f>AU17*'3 Saalis'!CL143</f>
        <v>0</v>
      </c>
      <c r="EN17" s="531">
        <f>AV17*'3 Saalis'!CM143</f>
        <v>0</v>
      </c>
      <c r="EO17" s="531">
        <f>AW17*'3 Saalis'!CN143</f>
        <v>0</v>
      </c>
      <c r="EP17" s="531">
        <f>AX17*'3 Saalis'!CO143</f>
        <v>0</v>
      </c>
      <c r="EQ17" s="531">
        <f>AY17*'3 Saalis'!CP143</f>
        <v>0</v>
      </c>
      <c r="ER17" s="531">
        <f>AZ17*'3 Saalis'!CQ143</f>
        <v>0</v>
      </c>
      <c r="ES17" s="531">
        <f>BA17*'3 Saalis'!CR143</f>
        <v>0</v>
      </c>
      <c r="ET17" s="531">
        <f>BB17*'3 Saalis'!CS143</f>
        <v>0</v>
      </c>
      <c r="EU17" s="531">
        <f>BC17*'3 Saalis'!CT143</f>
        <v>0</v>
      </c>
      <c r="EV17" s="531">
        <f>BD17*'3 Saalis'!CU143</f>
        <v>0</v>
      </c>
      <c r="EW17" s="532">
        <f>BE17*'3 Saalis'!CV143</f>
        <v>0</v>
      </c>
    </row>
    <row r="18" spans="2:153" ht="13.5" thickBot="1" x14ac:dyDescent="0.25">
      <c r="B18" s="57" t="s">
        <v>37</v>
      </c>
      <c r="C18" s="59"/>
      <c r="D18" s="1526">
        <v>0.9</v>
      </c>
      <c r="E18" s="125"/>
      <c r="F18" s="1528">
        <v>0.3</v>
      </c>
      <c r="I18" s="15"/>
      <c r="M18" s="106"/>
      <c r="AC18" s="35"/>
      <c r="AS18" s="106"/>
      <c r="BW18"/>
      <c r="BX18"/>
      <c r="CM18"/>
      <c r="CN18"/>
      <c r="DE18" s="106"/>
      <c r="DF18" s="106"/>
      <c r="DG18" s="106"/>
      <c r="DH18" s="106"/>
      <c r="DI18" s="106"/>
      <c r="DJ18" s="106"/>
      <c r="DK18" s="106"/>
      <c r="DL18" s="106"/>
      <c r="DM18" s="106"/>
      <c r="DN18" s="106"/>
      <c r="DO18" s="106"/>
      <c r="DP18" s="106"/>
      <c r="DQ18" s="106"/>
      <c r="DU18" s="106"/>
      <c r="DV18" s="106"/>
      <c r="DW18" s="106"/>
      <c r="DX18" s="106"/>
      <c r="DY18" s="106"/>
      <c r="DZ18" s="106"/>
      <c r="EA18" s="106"/>
      <c r="EB18" s="106"/>
      <c r="EC18" s="106"/>
      <c r="ED18" s="106"/>
      <c r="EE18" s="106"/>
      <c r="EF18" s="106"/>
      <c r="EG18" s="106"/>
      <c r="EK18" s="106"/>
      <c r="EL18" s="106"/>
      <c r="EM18" s="106"/>
      <c r="EN18" s="106"/>
      <c r="EO18" s="106"/>
      <c r="EP18" s="106"/>
      <c r="EQ18" s="106"/>
      <c r="ER18" s="106"/>
      <c r="ES18" s="106"/>
      <c r="ET18" s="106"/>
      <c r="EU18" s="106"/>
      <c r="EV18" s="106"/>
      <c r="EW18" s="106"/>
    </row>
    <row r="19" spans="2:153" ht="13.5" thickBot="1" x14ac:dyDescent="0.25">
      <c r="B19" s="57" t="s">
        <v>36</v>
      </c>
      <c r="C19" s="59"/>
      <c r="D19" s="1526">
        <v>0.8</v>
      </c>
      <c r="E19" s="125"/>
      <c r="F19" s="1528">
        <v>0.3</v>
      </c>
      <c r="I19" s="15"/>
      <c r="K19" s="5" t="s">
        <v>81</v>
      </c>
      <c r="L19" s="36"/>
      <c r="M19" s="136" t="str">
        <f>'4 Myynti'!D68</f>
        <v>Koko</v>
      </c>
      <c r="N19" s="47">
        <f>'4 Myynti'!E68</f>
        <v>0</v>
      </c>
      <c r="O19" s="48">
        <f>'4 Myynti'!F68</f>
        <v>0</v>
      </c>
      <c r="P19" s="48">
        <f>'4 Myynti'!G68</f>
        <v>0</v>
      </c>
      <c r="Q19" s="48">
        <f>'4 Myynti'!H68</f>
        <v>0</v>
      </c>
      <c r="R19" s="48">
        <f>'4 Myynti'!I68</f>
        <v>0</v>
      </c>
      <c r="S19" s="41" t="str">
        <f>'4 Myynti'!J68</f>
        <v>Kuukausittain</v>
      </c>
      <c r="T19" s="48"/>
      <c r="U19" s="48">
        <f>'4 Myynti'!L68</f>
        <v>0</v>
      </c>
      <c r="V19" s="48">
        <f>'4 Myynti'!M68</f>
        <v>0</v>
      </c>
      <c r="W19" s="48">
        <f>'4 Myynti'!N68</f>
        <v>0</v>
      </c>
      <c r="X19" s="48">
        <f>'4 Myynti'!O68</f>
        <v>0</v>
      </c>
      <c r="Y19" s="49">
        <f>'4 Myynti'!P68</f>
        <v>0</v>
      </c>
      <c r="AA19" s="5" t="s">
        <v>81</v>
      </c>
      <c r="AB19" s="36"/>
      <c r="AC19" s="1165" t="s">
        <v>40</v>
      </c>
      <c r="AD19" s="137">
        <v>0</v>
      </c>
      <c r="AE19" s="138">
        <v>0</v>
      </c>
      <c r="AF19" s="138">
        <v>0</v>
      </c>
      <c r="AG19" s="138">
        <v>0</v>
      </c>
      <c r="AH19" s="138">
        <v>0</v>
      </c>
      <c r="AI19" s="139" t="s">
        <v>42</v>
      </c>
      <c r="AJ19" s="138"/>
      <c r="AK19" s="138">
        <v>0</v>
      </c>
      <c r="AL19" s="138">
        <v>0</v>
      </c>
      <c r="AM19" s="138">
        <v>0</v>
      </c>
      <c r="AN19" s="138">
        <v>0</v>
      </c>
      <c r="AO19" s="140">
        <v>0</v>
      </c>
      <c r="AQ19" s="5" t="s">
        <v>81</v>
      </c>
      <c r="AR19" s="36"/>
      <c r="AS19" s="136" t="s">
        <v>40</v>
      </c>
      <c r="AT19" s="137">
        <v>0</v>
      </c>
      <c r="AU19" s="138">
        <v>0</v>
      </c>
      <c r="AV19" s="138">
        <v>0</v>
      </c>
      <c r="AW19" s="138">
        <v>0</v>
      </c>
      <c r="AX19" s="138">
        <v>0</v>
      </c>
      <c r="AY19" s="139" t="s">
        <v>42</v>
      </c>
      <c r="AZ19" s="138"/>
      <c r="BA19" s="138">
        <v>0</v>
      </c>
      <c r="BB19" s="138">
        <v>0</v>
      </c>
      <c r="BC19" s="138">
        <v>0</v>
      </c>
      <c r="BD19" s="138">
        <v>0</v>
      </c>
      <c r="BE19" s="140">
        <v>0</v>
      </c>
      <c r="BG19" s="5" t="s">
        <v>81</v>
      </c>
      <c r="BH19" s="36"/>
      <c r="BI19" s="136" t="s">
        <v>40</v>
      </c>
      <c r="BJ19" s="137">
        <v>0</v>
      </c>
      <c r="BK19" s="138">
        <v>0</v>
      </c>
      <c r="BL19" s="138">
        <v>0</v>
      </c>
      <c r="BM19" s="138">
        <v>0</v>
      </c>
      <c r="BN19" s="138">
        <v>0</v>
      </c>
      <c r="BO19" s="139" t="s">
        <v>42</v>
      </c>
      <c r="BP19" s="138"/>
      <c r="BQ19" s="138">
        <v>0</v>
      </c>
      <c r="BR19" s="138">
        <v>0</v>
      </c>
      <c r="BS19" s="138">
        <v>0</v>
      </c>
      <c r="BT19" s="138">
        <v>0</v>
      </c>
      <c r="BU19" s="140">
        <v>0</v>
      </c>
      <c r="BW19" s="5" t="s">
        <v>81</v>
      </c>
      <c r="BX19" s="36"/>
      <c r="BY19" s="136" t="s">
        <v>40</v>
      </c>
      <c r="BZ19" s="137">
        <v>0</v>
      </c>
      <c r="CA19" s="138">
        <v>0</v>
      </c>
      <c r="CB19" s="138">
        <v>0</v>
      </c>
      <c r="CC19" s="138">
        <v>0</v>
      </c>
      <c r="CD19" s="138">
        <v>0</v>
      </c>
      <c r="CE19" s="139" t="s">
        <v>42</v>
      </c>
      <c r="CF19" s="138"/>
      <c r="CG19" s="138">
        <v>0</v>
      </c>
      <c r="CH19" s="138">
        <v>0</v>
      </c>
      <c r="CI19" s="138">
        <v>0</v>
      </c>
      <c r="CJ19" s="138">
        <v>0</v>
      </c>
      <c r="CK19" s="140">
        <v>0</v>
      </c>
      <c r="CM19" s="5" t="s">
        <v>81</v>
      </c>
      <c r="CN19" s="36"/>
      <c r="CO19" s="136" t="s">
        <v>40</v>
      </c>
      <c r="CP19" s="137">
        <v>0</v>
      </c>
      <c r="CQ19" s="138">
        <v>0</v>
      </c>
      <c r="CR19" s="138">
        <v>0</v>
      </c>
      <c r="CS19" s="138">
        <v>0</v>
      </c>
      <c r="CT19" s="138">
        <v>0</v>
      </c>
      <c r="CU19" s="139" t="s">
        <v>42</v>
      </c>
      <c r="CV19" s="138"/>
      <c r="CW19" s="138">
        <v>0</v>
      </c>
      <c r="CX19" s="138">
        <v>0</v>
      </c>
      <c r="CY19" s="138">
        <v>0</v>
      </c>
      <c r="CZ19" s="138">
        <v>0</v>
      </c>
      <c r="DA19" s="140">
        <v>0</v>
      </c>
      <c r="DC19" s="5" t="s">
        <v>81</v>
      </c>
      <c r="DD19" s="36"/>
      <c r="DE19" s="136" t="s">
        <v>40</v>
      </c>
      <c r="DF19" s="137">
        <v>0</v>
      </c>
      <c r="DG19" s="138">
        <v>0</v>
      </c>
      <c r="DH19" s="138">
        <v>0</v>
      </c>
      <c r="DI19" s="138">
        <v>0</v>
      </c>
      <c r="DJ19" s="138">
        <v>0</v>
      </c>
      <c r="DK19" s="139" t="s">
        <v>42</v>
      </c>
      <c r="DL19" s="138"/>
      <c r="DM19" s="138">
        <v>0</v>
      </c>
      <c r="DN19" s="138">
        <v>0</v>
      </c>
      <c r="DO19" s="138">
        <v>0</v>
      </c>
      <c r="DP19" s="138">
        <v>0</v>
      </c>
      <c r="DQ19" s="140">
        <v>0</v>
      </c>
      <c r="DS19" s="5" t="s">
        <v>81</v>
      </c>
      <c r="DT19" s="36"/>
      <c r="DU19" s="136" t="s">
        <v>40</v>
      </c>
      <c r="DV19" s="137">
        <v>0</v>
      </c>
      <c r="DW19" s="138">
        <v>0</v>
      </c>
      <c r="DX19" s="138">
        <v>0</v>
      </c>
      <c r="DY19" s="138">
        <v>0</v>
      </c>
      <c r="DZ19" s="138">
        <v>0</v>
      </c>
      <c r="EA19" s="139" t="s">
        <v>42</v>
      </c>
      <c r="EB19" s="138"/>
      <c r="EC19" s="138">
        <v>0</v>
      </c>
      <c r="ED19" s="138">
        <v>0</v>
      </c>
      <c r="EE19" s="138">
        <v>0</v>
      </c>
      <c r="EF19" s="138">
        <v>0</v>
      </c>
      <c r="EG19" s="140">
        <v>0</v>
      </c>
      <c r="EI19" s="5" t="s">
        <v>81</v>
      </c>
      <c r="EJ19" s="36"/>
      <c r="EK19" s="136" t="s">
        <v>40</v>
      </c>
      <c r="EL19" s="137">
        <v>0</v>
      </c>
      <c r="EM19" s="138">
        <v>0</v>
      </c>
      <c r="EN19" s="138">
        <v>0</v>
      </c>
      <c r="EO19" s="138">
        <v>0</v>
      </c>
      <c r="EP19" s="138">
        <v>0</v>
      </c>
      <c r="EQ19" s="139" t="s">
        <v>42</v>
      </c>
      <c r="ER19" s="138"/>
      <c r="ES19" s="138">
        <v>0</v>
      </c>
      <c r="ET19" s="138">
        <v>0</v>
      </c>
      <c r="EU19" s="138">
        <v>0</v>
      </c>
      <c r="EV19" s="138">
        <v>0</v>
      </c>
      <c r="EW19" s="140">
        <v>0</v>
      </c>
    </row>
    <row r="20" spans="2:153" ht="13.5" thickBot="1" x14ac:dyDescent="0.25">
      <c r="B20" s="57" t="s">
        <v>94</v>
      </c>
      <c r="C20" s="59"/>
      <c r="D20" s="125"/>
      <c r="E20" s="125"/>
      <c r="F20" s="364"/>
      <c r="I20" s="15"/>
      <c r="K20" s="57"/>
      <c r="L20" s="59"/>
      <c r="M20" s="141" t="str">
        <f>'4 Myynti'!D69</f>
        <v>kausi</v>
      </c>
      <c r="N20" s="72">
        <f>'4 Myynti'!E69</f>
        <v>1</v>
      </c>
      <c r="O20" s="70">
        <f>'4 Myynti'!F69</f>
        <v>2</v>
      </c>
      <c r="P20" s="70">
        <f>'4 Myynti'!G69</f>
        <v>3</v>
      </c>
      <c r="Q20" s="70">
        <f>'4 Myynti'!H69</f>
        <v>4</v>
      </c>
      <c r="R20" s="70">
        <f>'4 Myynti'!I69</f>
        <v>5</v>
      </c>
      <c r="S20" s="70">
        <f>'4 Myynti'!J69</f>
        <v>6</v>
      </c>
      <c r="T20" s="70">
        <f>'4 Myynti'!K69</f>
        <v>7</v>
      </c>
      <c r="U20" s="70">
        <f>'4 Myynti'!L69</f>
        <v>8</v>
      </c>
      <c r="V20" s="70">
        <f>'4 Myynti'!M69</f>
        <v>9</v>
      </c>
      <c r="W20" s="70">
        <f>'4 Myynti'!N69</f>
        <v>10</v>
      </c>
      <c r="X20" s="70">
        <f>'4 Myynti'!O69</f>
        <v>11</v>
      </c>
      <c r="Y20" s="71">
        <f>'4 Myynti'!P69</f>
        <v>12</v>
      </c>
      <c r="AA20" s="57"/>
      <c r="AB20" s="59"/>
      <c r="AC20" s="1166" t="s">
        <v>41</v>
      </c>
      <c r="AD20" s="142">
        <v>1</v>
      </c>
      <c r="AE20" s="143">
        <v>2</v>
      </c>
      <c r="AF20" s="143">
        <v>3</v>
      </c>
      <c r="AG20" s="143">
        <v>4</v>
      </c>
      <c r="AH20" s="143">
        <v>5</v>
      </c>
      <c r="AI20" s="143">
        <v>6</v>
      </c>
      <c r="AJ20" s="143">
        <v>7</v>
      </c>
      <c r="AK20" s="143">
        <v>8</v>
      </c>
      <c r="AL20" s="143">
        <v>9</v>
      </c>
      <c r="AM20" s="143">
        <v>10</v>
      </c>
      <c r="AN20" s="143">
        <v>11</v>
      </c>
      <c r="AO20" s="144">
        <v>12</v>
      </c>
      <c r="AQ20" s="57"/>
      <c r="AR20" s="59"/>
      <c r="AS20" s="141" t="s">
        <v>41</v>
      </c>
      <c r="AT20" s="142">
        <v>1</v>
      </c>
      <c r="AU20" s="143">
        <v>2</v>
      </c>
      <c r="AV20" s="143">
        <v>3</v>
      </c>
      <c r="AW20" s="143">
        <v>4</v>
      </c>
      <c r="AX20" s="143">
        <v>5</v>
      </c>
      <c r="AY20" s="143">
        <v>6</v>
      </c>
      <c r="AZ20" s="143">
        <v>7</v>
      </c>
      <c r="BA20" s="143">
        <v>8</v>
      </c>
      <c r="BB20" s="143">
        <v>9</v>
      </c>
      <c r="BC20" s="143">
        <v>10</v>
      </c>
      <c r="BD20" s="143">
        <v>11</v>
      </c>
      <c r="BE20" s="144">
        <v>12</v>
      </c>
      <c r="BG20" s="57"/>
      <c r="BH20" s="59"/>
      <c r="BI20" s="141" t="s">
        <v>41</v>
      </c>
      <c r="BJ20" s="142">
        <v>1</v>
      </c>
      <c r="BK20" s="143">
        <v>2</v>
      </c>
      <c r="BL20" s="143">
        <v>3</v>
      </c>
      <c r="BM20" s="143">
        <v>4</v>
      </c>
      <c r="BN20" s="143">
        <v>5</v>
      </c>
      <c r="BO20" s="143">
        <v>6</v>
      </c>
      <c r="BP20" s="143">
        <v>7</v>
      </c>
      <c r="BQ20" s="143">
        <v>8</v>
      </c>
      <c r="BR20" s="143">
        <v>9</v>
      </c>
      <c r="BS20" s="143">
        <v>10</v>
      </c>
      <c r="BT20" s="143">
        <v>11</v>
      </c>
      <c r="BU20" s="144">
        <v>12</v>
      </c>
      <c r="BW20" s="57"/>
      <c r="BX20" s="59"/>
      <c r="BY20" s="141" t="s">
        <v>41</v>
      </c>
      <c r="BZ20" s="142">
        <v>1</v>
      </c>
      <c r="CA20" s="143">
        <v>2</v>
      </c>
      <c r="CB20" s="143">
        <v>3</v>
      </c>
      <c r="CC20" s="143">
        <v>4</v>
      </c>
      <c r="CD20" s="143">
        <v>5</v>
      </c>
      <c r="CE20" s="143">
        <v>6</v>
      </c>
      <c r="CF20" s="143">
        <v>7</v>
      </c>
      <c r="CG20" s="143">
        <v>8</v>
      </c>
      <c r="CH20" s="143">
        <v>9</v>
      </c>
      <c r="CI20" s="143">
        <v>10</v>
      </c>
      <c r="CJ20" s="143">
        <v>11</v>
      </c>
      <c r="CK20" s="144">
        <v>12</v>
      </c>
      <c r="CM20" s="57"/>
      <c r="CN20" s="59"/>
      <c r="CO20" s="141" t="s">
        <v>41</v>
      </c>
      <c r="CP20" s="142">
        <v>1</v>
      </c>
      <c r="CQ20" s="143">
        <v>2</v>
      </c>
      <c r="CR20" s="143">
        <v>3</v>
      </c>
      <c r="CS20" s="143">
        <v>4</v>
      </c>
      <c r="CT20" s="143">
        <v>5</v>
      </c>
      <c r="CU20" s="143">
        <v>6</v>
      </c>
      <c r="CV20" s="143">
        <v>7</v>
      </c>
      <c r="CW20" s="143">
        <v>8</v>
      </c>
      <c r="CX20" s="143">
        <v>9</v>
      </c>
      <c r="CY20" s="143">
        <v>10</v>
      </c>
      <c r="CZ20" s="143">
        <v>11</v>
      </c>
      <c r="DA20" s="144">
        <v>12</v>
      </c>
      <c r="DC20" s="57"/>
      <c r="DD20" s="59"/>
      <c r="DE20" s="141" t="s">
        <v>41</v>
      </c>
      <c r="DF20" s="142">
        <v>1</v>
      </c>
      <c r="DG20" s="143">
        <v>2</v>
      </c>
      <c r="DH20" s="143">
        <v>3</v>
      </c>
      <c r="DI20" s="143">
        <v>4</v>
      </c>
      <c r="DJ20" s="143">
        <v>5</v>
      </c>
      <c r="DK20" s="143">
        <v>6</v>
      </c>
      <c r="DL20" s="143">
        <v>7</v>
      </c>
      <c r="DM20" s="143">
        <v>8</v>
      </c>
      <c r="DN20" s="143">
        <v>9</v>
      </c>
      <c r="DO20" s="143">
        <v>10</v>
      </c>
      <c r="DP20" s="143">
        <v>11</v>
      </c>
      <c r="DQ20" s="144">
        <v>12</v>
      </c>
      <c r="DS20" s="57"/>
      <c r="DT20" s="59"/>
      <c r="DU20" s="141" t="s">
        <v>41</v>
      </c>
      <c r="DV20" s="142">
        <v>1</v>
      </c>
      <c r="DW20" s="143">
        <v>2</v>
      </c>
      <c r="DX20" s="143">
        <v>3</v>
      </c>
      <c r="DY20" s="143">
        <v>4</v>
      </c>
      <c r="DZ20" s="143">
        <v>5</v>
      </c>
      <c r="EA20" s="143">
        <v>6</v>
      </c>
      <c r="EB20" s="143">
        <v>7</v>
      </c>
      <c r="EC20" s="143">
        <v>8</v>
      </c>
      <c r="ED20" s="143">
        <v>9</v>
      </c>
      <c r="EE20" s="143">
        <v>10</v>
      </c>
      <c r="EF20" s="143">
        <v>11</v>
      </c>
      <c r="EG20" s="144">
        <v>12</v>
      </c>
      <c r="EI20" s="57"/>
      <c r="EJ20" s="59"/>
      <c r="EK20" s="141" t="s">
        <v>41</v>
      </c>
      <c r="EL20" s="142">
        <v>1</v>
      </c>
      <c r="EM20" s="143">
        <v>2</v>
      </c>
      <c r="EN20" s="143">
        <v>3</v>
      </c>
      <c r="EO20" s="143">
        <v>4</v>
      </c>
      <c r="EP20" s="143">
        <v>5</v>
      </c>
      <c r="EQ20" s="143">
        <v>6</v>
      </c>
      <c r="ER20" s="143">
        <v>7</v>
      </c>
      <c r="ES20" s="143">
        <v>8</v>
      </c>
      <c r="ET20" s="143">
        <v>9</v>
      </c>
      <c r="EU20" s="143">
        <v>10</v>
      </c>
      <c r="EV20" s="143">
        <v>11</v>
      </c>
      <c r="EW20" s="144">
        <v>12</v>
      </c>
    </row>
    <row r="21" spans="2:153" ht="13.5" thickBot="1" x14ac:dyDescent="0.25">
      <c r="B21" s="40" t="s">
        <v>93</v>
      </c>
      <c r="C21" s="56"/>
      <c r="D21" s="1527">
        <v>0.85</v>
      </c>
      <c r="E21" s="126"/>
      <c r="F21" s="1529">
        <v>0.3</v>
      </c>
      <c r="I21" s="15"/>
      <c r="K21" s="5" t="s">
        <v>110</v>
      </c>
      <c r="L21" s="13"/>
      <c r="M21" s="425">
        <f>SUM(N21:Y21)</f>
        <v>0</v>
      </c>
      <c r="N21" s="499">
        <f>'4 Myynti'!E73+'4 Myynti'!E76</f>
        <v>0</v>
      </c>
      <c r="O21" s="499">
        <f>'4 Myynti'!F73+'4 Myynti'!F76</f>
        <v>0</v>
      </c>
      <c r="P21" s="499">
        <f>'4 Myynti'!G73+'4 Myynti'!G76</f>
        <v>0</v>
      </c>
      <c r="Q21" s="499">
        <f>'4 Myynti'!H73+'4 Myynti'!H76</f>
        <v>0</v>
      </c>
      <c r="R21" s="499">
        <f>'4 Myynti'!I73+'4 Myynti'!I76</f>
        <v>0</v>
      </c>
      <c r="S21" s="499">
        <f>'4 Myynti'!J73+'4 Myynti'!J76</f>
        <v>0</v>
      </c>
      <c r="T21" s="499">
        <f>'4 Myynti'!K73+'4 Myynti'!K76</f>
        <v>0</v>
      </c>
      <c r="U21" s="499">
        <f>'4 Myynti'!L73+'4 Myynti'!L76</f>
        <v>0</v>
      </c>
      <c r="V21" s="499">
        <f>'4 Myynti'!M73+'4 Myynti'!M76</f>
        <v>0</v>
      </c>
      <c r="W21" s="499">
        <f>'4 Myynti'!N73+'4 Myynti'!N76</f>
        <v>0</v>
      </c>
      <c r="X21" s="499">
        <f>'4 Myynti'!O73+'4 Myynti'!O76</f>
        <v>0</v>
      </c>
      <c r="Y21" s="499">
        <f>'4 Myynti'!P73+'4 Myynti'!P76</f>
        <v>0</v>
      </c>
      <c r="AA21" s="5" t="s">
        <v>110</v>
      </c>
      <c r="AB21" s="13"/>
      <c r="AC21" s="1390">
        <f>SUM(AD21:AO21)</f>
        <v>0</v>
      </c>
      <c r="AD21" s="499">
        <f>$C$31*N21/100*$D$31</f>
        <v>0</v>
      </c>
      <c r="AE21" s="499">
        <f t="shared" ref="AE21:AO21" si="4">$C$31*O21/100*$D$31</f>
        <v>0</v>
      </c>
      <c r="AF21" s="499">
        <f t="shared" si="4"/>
        <v>0</v>
      </c>
      <c r="AG21" s="499">
        <f t="shared" si="4"/>
        <v>0</v>
      </c>
      <c r="AH21" s="499">
        <f t="shared" si="4"/>
        <v>0</v>
      </c>
      <c r="AI21" s="499">
        <f t="shared" si="4"/>
        <v>0</v>
      </c>
      <c r="AJ21" s="499">
        <f t="shared" si="4"/>
        <v>0</v>
      </c>
      <c r="AK21" s="499">
        <f t="shared" si="4"/>
        <v>0</v>
      </c>
      <c r="AL21" s="499">
        <f t="shared" si="4"/>
        <v>0</v>
      </c>
      <c r="AM21" s="499">
        <f t="shared" si="4"/>
        <v>0</v>
      </c>
      <c r="AN21" s="499">
        <f t="shared" si="4"/>
        <v>0</v>
      </c>
      <c r="AO21" s="499">
        <f t="shared" si="4"/>
        <v>0</v>
      </c>
      <c r="AQ21" s="5" t="s">
        <v>110</v>
      </c>
      <c r="AR21" s="13"/>
      <c r="AS21" s="425">
        <f>SUM(AT21:BE21)</f>
        <v>0</v>
      </c>
      <c r="AT21" s="499">
        <f>AD21*'11. Työtunnit'!$C$7</f>
        <v>0</v>
      </c>
      <c r="AU21" s="499">
        <f>AE21*'11. Työtunnit'!$C$7</f>
        <v>0</v>
      </c>
      <c r="AV21" s="499">
        <f>AF21*'11. Työtunnit'!$C$7</f>
        <v>0</v>
      </c>
      <c r="AW21" s="499">
        <f>AG21*'11. Työtunnit'!$C$7</f>
        <v>0</v>
      </c>
      <c r="AX21" s="499">
        <f>AH21*'11. Työtunnit'!$C$7</f>
        <v>0</v>
      </c>
      <c r="AY21" s="499">
        <f>AI21*'11. Työtunnit'!$C$7</f>
        <v>0</v>
      </c>
      <c r="AZ21" s="499">
        <f>AJ21*'11. Työtunnit'!$C$7</f>
        <v>0</v>
      </c>
      <c r="BA21" s="499">
        <f>AK21*'11. Työtunnit'!$C$7</f>
        <v>0</v>
      </c>
      <c r="BB21" s="499">
        <f>AL21*'11. Työtunnit'!$C$7</f>
        <v>0</v>
      </c>
      <c r="BC21" s="499">
        <f>AM21*'11. Työtunnit'!$C$7</f>
        <v>0</v>
      </c>
      <c r="BD21" s="499">
        <f>AN21*'11. Työtunnit'!$C$7</f>
        <v>0</v>
      </c>
      <c r="BE21" s="499">
        <f>AO21*'11. Työtunnit'!$C$7</f>
        <v>0</v>
      </c>
      <c r="BG21" s="5" t="s">
        <v>110</v>
      </c>
      <c r="BH21" s="13"/>
      <c r="BI21" s="425">
        <f>SUM(BJ21:BU21)</f>
        <v>0</v>
      </c>
      <c r="BJ21" s="499">
        <f>AT21*'3 Saalis'!CK34</f>
        <v>0</v>
      </c>
      <c r="BK21" s="499">
        <f>AU21*'3 Saalis'!CL34</f>
        <v>0</v>
      </c>
      <c r="BL21" s="499">
        <f>AV21*'3 Saalis'!CM34</f>
        <v>0</v>
      </c>
      <c r="BM21" s="499">
        <f>AW21*'3 Saalis'!CN34</f>
        <v>0</v>
      </c>
      <c r="BN21" s="499">
        <f>AX21*'3 Saalis'!CO34</f>
        <v>0</v>
      </c>
      <c r="BO21" s="499">
        <f>AY21*'3 Saalis'!CP34</f>
        <v>0</v>
      </c>
      <c r="BP21" s="499">
        <f>AZ21*'3 Saalis'!CQ34</f>
        <v>0</v>
      </c>
      <c r="BQ21" s="499">
        <f>BA21*'3 Saalis'!CR34</f>
        <v>0</v>
      </c>
      <c r="BR21" s="499">
        <f>BB21*'3 Saalis'!CS34</f>
        <v>0</v>
      </c>
      <c r="BS21" s="499">
        <f>BC21*'3 Saalis'!CT34</f>
        <v>0</v>
      </c>
      <c r="BT21" s="499">
        <f>BD21*'3 Saalis'!CU34</f>
        <v>0</v>
      </c>
      <c r="BU21" s="499">
        <f>BE21*'3 Saalis'!CV34</f>
        <v>0</v>
      </c>
      <c r="BW21" s="5" t="s">
        <v>110</v>
      </c>
      <c r="BX21" s="13"/>
      <c r="BY21" s="425">
        <f>SUM(BZ21:CK21)</f>
        <v>0</v>
      </c>
      <c r="BZ21" s="499">
        <f>AT21*'3 Saalis'!CK56</f>
        <v>0</v>
      </c>
      <c r="CA21" s="499">
        <f>AU21*'3 Saalis'!CL56</f>
        <v>0</v>
      </c>
      <c r="CB21" s="499">
        <f>AV21*'3 Saalis'!CM56</f>
        <v>0</v>
      </c>
      <c r="CC21" s="499">
        <f>AW21*'3 Saalis'!CN56</f>
        <v>0</v>
      </c>
      <c r="CD21" s="499">
        <f>AX21*'3 Saalis'!CO56</f>
        <v>0</v>
      </c>
      <c r="CE21" s="499">
        <f>AY21*'3 Saalis'!CP56</f>
        <v>0</v>
      </c>
      <c r="CF21" s="499">
        <f>AZ21*'3 Saalis'!CQ56</f>
        <v>0</v>
      </c>
      <c r="CG21" s="499">
        <f>BA21*'3 Saalis'!CR56</f>
        <v>0</v>
      </c>
      <c r="CH21" s="499">
        <f>BB21*'3 Saalis'!CS56</f>
        <v>0</v>
      </c>
      <c r="CI21" s="499">
        <f>BC21*'3 Saalis'!CT56</f>
        <v>0</v>
      </c>
      <c r="CJ21" s="499">
        <f>BD21*'3 Saalis'!CU56</f>
        <v>0</v>
      </c>
      <c r="CK21" s="499">
        <f>BE21*'3 Saalis'!CV56</f>
        <v>0</v>
      </c>
      <c r="CM21" s="5" t="s">
        <v>110</v>
      </c>
      <c r="CN21" s="13"/>
      <c r="CO21" s="425">
        <f>SUM(CP21:DA21)</f>
        <v>0</v>
      </c>
      <c r="CP21" s="499">
        <f>'3 Saalis'!CK78*'5 Kalan alkukäsittely satamassa'!AT21</f>
        <v>0</v>
      </c>
      <c r="CQ21" s="499">
        <f>'3 Saalis'!CL78*'5 Kalan alkukäsittely satamassa'!AU21</f>
        <v>0</v>
      </c>
      <c r="CR21" s="499">
        <f>'3 Saalis'!CM78*'5 Kalan alkukäsittely satamassa'!AV21</f>
        <v>0</v>
      </c>
      <c r="CS21" s="499">
        <f>'3 Saalis'!CN78*'5 Kalan alkukäsittely satamassa'!AW21</f>
        <v>0</v>
      </c>
      <c r="CT21" s="499">
        <f>'3 Saalis'!CO78*'5 Kalan alkukäsittely satamassa'!AX21</f>
        <v>0</v>
      </c>
      <c r="CU21" s="499">
        <f>'3 Saalis'!CP78*'5 Kalan alkukäsittely satamassa'!AY21</f>
        <v>0</v>
      </c>
      <c r="CV21" s="499">
        <f>'3 Saalis'!CQ78*'5 Kalan alkukäsittely satamassa'!AZ21</f>
        <v>0</v>
      </c>
      <c r="CW21" s="499">
        <f>'3 Saalis'!CR78*'5 Kalan alkukäsittely satamassa'!BA21</f>
        <v>0</v>
      </c>
      <c r="CX21" s="499">
        <f>'3 Saalis'!CS78*'5 Kalan alkukäsittely satamassa'!BB21</f>
        <v>0</v>
      </c>
      <c r="CY21" s="499">
        <f>'3 Saalis'!CT78*'5 Kalan alkukäsittely satamassa'!BC21</f>
        <v>0</v>
      </c>
      <c r="CZ21" s="499">
        <f>'3 Saalis'!CU78*'5 Kalan alkukäsittely satamassa'!BD21</f>
        <v>0</v>
      </c>
      <c r="DA21" s="499">
        <f>'3 Saalis'!CV78*'5 Kalan alkukäsittely satamassa'!BE21</f>
        <v>0</v>
      </c>
      <c r="DC21" s="5" t="s">
        <v>110</v>
      </c>
      <c r="DD21" s="13"/>
      <c r="DE21" s="425">
        <f>SUM(DF21:DQ21)</f>
        <v>0</v>
      </c>
      <c r="DF21" s="499">
        <f>'3 Saalis'!CK100*'5 Kalan alkukäsittely satamassa'!AT21</f>
        <v>0</v>
      </c>
      <c r="DG21" s="499">
        <f>'3 Saalis'!CL100*'5 Kalan alkukäsittely satamassa'!AU21</f>
        <v>0</v>
      </c>
      <c r="DH21" s="499">
        <f>'3 Saalis'!CM100*'5 Kalan alkukäsittely satamassa'!AV21</f>
        <v>0</v>
      </c>
      <c r="DI21" s="499">
        <f>'3 Saalis'!CN100*'5 Kalan alkukäsittely satamassa'!AW21</f>
        <v>0</v>
      </c>
      <c r="DJ21" s="499">
        <f>'3 Saalis'!CO100*'5 Kalan alkukäsittely satamassa'!AX21</f>
        <v>0</v>
      </c>
      <c r="DK21" s="499">
        <f>'3 Saalis'!CP100*'5 Kalan alkukäsittely satamassa'!AY21</f>
        <v>0</v>
      </c>
      <c r="DL21" s="499">
        <f>'3 Saalis'!CQ100*'5 Kalan alkukäsittely satamassa'!AZ21</f>
        <v>0</v>
      </c>
      <c r="DM21" s="499">
        <f>'3 Saalis'!CR100*'5 Kalan alkukäsittely satamassa'!BA21</f>
        <v>0</v>
      </c>
      <c r="DN21" s="499">
        <f>'3 Saalis'!CS100*'5 Kalan alkukäsittely satamassa'!BB21</f>
        <v>0</v>
      </c>
      <c r="DO21" s="499">
        <f>'3 Saalis'!CT100*'5 Kalan alkukäsittely satamassa'!BC21</f>
        <v>0</v>
      </c>
      <c r="DP21" s="499">
        <f>'3 Saalis'!CU100*'5 Kalan alkukäsittely satamassa'!BD21</f>
        <v>0</v>
      </c>
      <c r="DQ21" s="499">
        <f>'3 Saalis'!CV100*'5 Kalan alkukäsittely satamassa'!BE21</f>
        <v>0</v>
      </c>
      <c r="DS21" s="5" t="s">
        <v>110</v>
      </c>
      <c r="DT21" s="13"/>
      <c r="DU21" s="425">
        <f>SUM(DV21:EG21)</f>
        <v>0</v>
      </c>
      <c r="DV21" s="499">
        <f>AT21*'3 Saalis'!CK122</f>
        <v>0</v>
      </c>
      <c r="DW21" s="499">
        <f>AU21*'3 Saalis'!CL122</f>
        <v>0</v>
      </c>
      <c r="DX21" s="499">
        <f>AV21*'3 Saalis'!CM122</f>
        <v>0</v>
      </c>
      <c r="DY21" s="499">
        <f>AW21*'3 Saalis'!CN122</f>
        <v>0</v>
      </c>
      <c r="DZ21" s="499">
        <f>AX21*'3 Saalis'!CO122</f>
        <v>0</v>
      </c>
      <c r="EA21" s="499">
        <f>AY21*'3 Saalis'!CP122</f>
        <v>0</v>
      </c>
      <c r="EB21" s="499">
        <f>AZ21*'3 Saalis'!CQ122</f>
        <v>0</v>
      </c>
      <c r="EC21" s="499">
        <f>BA21*'3 Saalis'!CR122</f>
        <v>0</v>
      </c>
      <c r="ED21" s="499">
        <f>BB21*'3 Saalis'!CS122</f>
        <v>0</v>
      </c>
      <c r="EE21" s="499">
        <f>BC21*'3 Saalis'!CT122</f>
        <v>0</v>
      </c>
      <c r="EF21" s="499">
        <f>BD21*'3 Saalis'!CU122</f>
        <v>0</v>
      </c>
      <c r="EG21" s="499">
        <f>BE21*'3 Saalis'!CV122</f>
        <v>0</v>
      </c>
      <c r="EI21" s="5" t="s">
        <v>110</v>
      </c>
      <c r="EJ21" s="13"/>
      <c r="EK21" s="425">
        <f>SUM(EL21:EW21)</f>
        <v>0</v>
      </c>
      <c r="EL21" s="499">
        <f>AT21*'3 Saalis'!CK144</f>
        <v>0</v>
      </c>
      <c r="EM21" s="499">
        <f>AU21*'3 Saalis'!CL144</f>
        <v>0</v>
      </c>
      <c r="EN21" s="499">
        <f>AV21*'3 Saalis'!CM144</f>
        <v>0</v>
      </c>
      <c r="EO21" s="499">
        <f>AW21*'3 Saalis'!CN144</f>
        <v>0</v>
      </c>
      <c r="EP21" s="499">
        <f>AX21*'3 Saalis'!CO144</f>
        <v>0</v>
      </c>
      <c r="EQ21" s="499">
        <f>AY21*'3 Saalis'!CP144</f>
        <v>0</v>
      </c>
      <c r="ER21" s="499">
        <f>AZ21*'3 Saalis'!CQ144</f>
        <v>0</v>
      </c>
      <c r="ES21" s="499">
        <f>BA21*'3 Saalis'!CR144</f>
        <v>0</v>
      </c>
      <c r="ET21" s="499">
        <f>BB21*'3 Saalis'!CS144</f>
        <v>0</v>
      </c>
      <c r="EU21" s="499">
        <f>BC21*'3 Saalis'!CT144</f>
        <v>0</v>
      </c>
      <c r="EV21" s="499">
        <f>BD21*'3 Saalis'!CU144</f>
        <v>0</v>
      </c>
      <c r="EW21" s="499">
        <f>BE21*'3 Saalis'!CV144</f>
        <v>0</v>
      </c>
    </row>
    <row r="22" spans="2:153" ht="13.5" thickBot="1" x14ac:dyDescent="0.25">
      <c r="I22" s="15"/>
      <c r="K22" s="40" t="s">
        <v>111</v>
      </c>
      <c r="L22" s="76"/>
      <c r="M22" s="512">
        <f>SUM(N22:Y22)</f>
        <v>0</v>
      </c>
      <c r="N22" s="521">
        <f>'4 Myynti'!E74+'4 Myynti'!E77</f>
        <v>0</v>
      </c>
      <c r="O22" s="531">
        <f>'4 Myynti'!F74+'4 Myynti'!F77</f>
        <v>0</v>
      </c>
      <c r="P22" s="531">
        <f>'4 Myynti'!G74+'4 Myynti'!G77</f>
        <v>0</v>
      </c>
      <c r="Q22" s="531">
        <f>'4 Myynti'!H74+'4 Myynti'!H77</f>
        <v>0</v>
      </c>
      <c r="R22" s="531">
        <f>'4 Myynti'!I74+'4 Myynti'!I77</f>
        <v>0</v>
      </c>
      <c r="S22" s="531">
        <f>'4 Myynti'!J74+'4 Myynti'!J77</f>
        <v>0</v>
      </c>
      <c r="T22" s="531">
        <f>'4 Myynti'!K74+'4 Myynti'!K77</f>
        <v>0</v>
      </c>
      <c r="U22" s="531">
        <f>'4 Myynti'!L74+'4 Myynti'!L77</f>
        <v>0</v>
      </c>
      <c r="V22" s="531">
        <f>'4 Myynti'!M74+'4 Myynti'!M77</f>
        <v>0</v>
      </c>
      <c r="W22" s="531">
        <f>'4 Myynti'!N74+'4 Myynti'!N77</f>
        <v>0</v>
      </c>
      <c r="X22" s="531">
        <f>'4 Myynti'!O74+'4 Myynti'!O77</f>
        <v>0</v>
      </c>
      <c r="Y22" s="532">
        <f>'4 Myynti'!P74+'4 Myynti'!P77</f>
        <v>0</v>
      </c>
      <c r="AA22" s="40" t="s">
        <v>111</v>
      </c>
      <c r="AB22" s="76"/>
      <c r="AC22" s="1391">
        <f>SUM(AD22:AO22)</f>
        <v>0</v>
      </c>
      <c r="AD22" s="521">
        <f t="shared" ref="AD22:AO22" si="5">N22/100*$F$31</f>
        <v>0</v>
      </c>
      <c r="AE22" s="531">
        <f t="shared" si="5"/>
        <v>0</v>
      </c>
      <c r="AF22" s="531">
        <f t="shared" si="5"/>
        <v>0</v>
      </c>
      <c r="AG22" s="531">
        <f t="shared" si="5"/>
        <v>0</v>
      </c>
      <c r="AH22" s="531">
        <f t="shared" si="5"/>
        <v>0</v>
      </c>
      <c r="AI22" s="531">
        <f t="shared" si="5"/>
        <v>0</v>
      </c>
      <c r="AJ22" s="531">
        <f t="shared" si="5"/>
        <v>0</v>
      </c>
      <c r="AK22" s="531">
        <f t="shared" si="5"/>
        <v>0</v>
      </c>
      <c r="AL22" s="531">
        <f t="shared" si="5"/>
        <v>0</v>
      </c>
      <c r="AM22" s="531">
        <f t="shared" si="5"/>
        <v>0</v>
      </c>
      <c r="AN22" s="531">
        <f t="shared" si="5"/>
        <v>0</v>
      </c>
      <c r="AO22" s="531">
        <f t="shared" si="5"/>
        <v>0</v>
      </c>
      <c r="AQ22" s="40" t="s">
        <v>111</v>
      </c>
      <c r="AR22" s="76"/>
      <c r="AS22" s="512">
        <f>SUM(AT22:BE22)</f>
        <v>0</v>
      </c>
      <c r="AT22" s="521">
        <f>AD22*'11. Työtunnit'!$C$7</f>
        <v>0</v>
      </c>
      <c r="AU22" s="531">
        <f>AE22*'11. Työtunnit'!$C$7</f>
        <v>0</v>
      </c>
      <c r="AV22" s="531">
        <f>AF22*'11. Työtunnit'!$C$7</f>
        <v>0</v>
      </c>
      <c r="AW22" s="531">
        <f>AG22*'11. Työtunnit'!$C$7</f>
        <v>0</v>
      </c>
      <c r="AX22" s="531">
        <f>AH22*'11. Työtunnit'!$C$7</f>
        <v>0</v>
      </c>
      <c r="AY22" s="531">
        <f>AI22*'11. Työtunnit'!$C$7</f>
        <v>0</v>
      </c>
      <c r="AZ22" s="531">
        <f>AJ22*'11. Työtunnit'!$C$7</f>
        <v>0</v>
      </c>
      <c r="BA22" s="531">
        <f>AK22*'11. Työtunnit'!$C$7</f>
        <v>0</v>
      </c>
      <c r="BB22" s="531">
        <f>AL22*'11. Työtunnit'!$C$7</f>
        <v>0</v>
      </c>
      <c r="BC22" s="531">
        <f>AM22*'11. Työtunnit'!$C$7</f>
        <v>0</v>
      </c>
      <c r="BD22" s="531">
        <f>AN22*'11. Työtunnit'!$C$7</f>
        <v>0</v>
      </c>
      <c r="BE22" s="531">
        <f>AO22*'11. Työtunnit'!$C$7</f>
        <v>0</v>
      </c>
      <c r="BG22" s="40" t="s">
        <v>111</v>
      </c>
      <c r="BH22" s="76"/>
      <c r="BI22" s="512">
        <f>SUM(BJ22:BU22)</f>
        <v>0</v>
      </c>
      <c r="BJ22" s="521">
        <f>AT22*'3 Saalis'!CK34</f>
        <v>0</v>
      </c>
      <c r="BK22" s="531">
        <f>AU22*'3 Saalis'!CL34</f>
        <v>0</v>
      </c>
      <c r="BL22" s="531">
        <f>AV22*'3 Saalis'!CM34</f>
        <v>0</v>
      </c>
      <c r="BM22" s="531">
        <f>AW22*'3 Saalis'!CN34</f>
        <v>0</v>
      </c>
      <c r="BN22" s="531">
        <f>AX22*'3 Saalis'!CO34</f>
        <v>0</v>
      </c>
      <c r="BO22" s="531">
        <f>AY22*'3 Saalis'!CP34</f>
        <v>0</v>
      </c>
      <c r="BP22" s="531">
        <f>AZ22*'3 Saalis'!CQ34</f>
        <v>0</v>
      </c>
      <c r="BQ22" s="531">
        <f>BA22*'3 Saalis'!CR34</f>
        <v>0</v>
      </c>
      <c r="BR22" s="531">
        <f>BB22*'3 Saalis'!CS34</f>
        <v>0</v>
      </c>
      <c r="BS22" s="531">
        <f>BC22*'3 Saalis'!CT34</f>
        <v>0</v>
      </c>
      <c r="BT22" s="531">
        <f>BD22*'3 Saalis'!CU34</f>
        <v>0</v>
      </c>
      <c r="BU22" s="531">
        <f>BE22*'3 Saalis'!CV34</f>
        <v>0</v>
      </c>
      <c r="BW22" s="40" t="s">
        <v>111</v>
      </c>
      <c r="BX22" s="76"/>
      <c r="BY22" s="512">
        <f>SUM(BZ22:CK22)</f>
        <v>0</v>
      </c>
      <c r="BZ22" s="521">
        <f>AT22*'3 Saalis'!CK56</f>
        <v>0</v>
      </c>
      <c r="CA22" s="531">
        <f>AU22*'3 Saalis'!CL56</f>
        <v>0</v>
      </c>
      <c r="CB22" s="531">
        <f>AV22*'3 Saalis'!CM56</f>
        <v>0</v>
      </c>
      <c r="CC22" s="531">
        <f>AW22*'3 Saalis'!CN56</f>
        <v>0</v>
      </c>
      <c r="CD22" s="531">
        <f>AX22*'3 Saalis'!CO56</f>
        <v>0</v>
      </c>
      <c r="CE22" s="531">
        <f>AY22*'3 Saalis'!CP56</f>
        <v>0</v>
      </c>
      <c r="CF22" s="531">
        <f>AZ22*'3 Saalis'!CQ56</f>
        <v>0</v>
      </c>
      <c r="CG22" s="531">
        <f>BA22*'3 Saalis'!CR56</f>
        <v>0</v>
      </c>
      <c r="CH22" s="531">
        <f>BB22*'3 Saalis'!CS56</f>
        <v>0</v>
      </c>
      <c r="CI22" s="531">
        <f>BC22*'3 Saalis'!CT56</f>
        <v>0</v>
      </c>
      <c r="CJ22" s="531">
        <f>BD22*'3 Saalis'!CU56</f>
        <v>0</v>
      </c>
      <c r="CK22" s="531">
        <f>BE22*'3 Saalis'!CV56</f>
        <v>0</v>
      </c>
      <c r="CM22" s="40" t="s">
        <v>111</v>
      </c>
      <c r="CN22" s="76"/>
      <c r="CO22" s="512">
        <f>SUM(CP22:DA22)</f>
        <v>0</v>
      </c>
      <c r="CP22" s="521">
        <f>'3 Saalis'!CK78*'5 Kalan alkukäsittely satamassa'!AT22</f>
        <v>0</v>
      </c>
      <c r="CQ22" s="531">
        <f>'3 Saalis'!CL78*'5 Kalan alkukäsittely satamassa'!AU22</f>
        <v>0</v>
      </c>
      <c r="CR22" s="531">
        <f>'3 Saalis'!CM78*'5 Kalan alkukäsittely satamassa'!AV22</f>
        <v>0</v>
      </c>
      <c r="CS22" s="531">
        <f>'3 Saalis'!CN78*'5 Kalan alkukäsittely satamassa'!AW22</f>
        <v>0</v>
      </c>
      <c r="CT22" s="531">
        <f>'3 Saalis'!CO78*'5 Kalan alkukäsittely satamassa'!AX22</f>
        <v>0</v>
      </c>
      <c r="CU22" s="531">
        <f>'3 Saalis'!CP78*'5 Kalan alkukäsittely satamassa'!AY22</f>
        <v>0</v>
      </c>
      <c r="CV22" s="531">
        <f>'3 Saalis'!CQ78*'5 Kalan alkukäsittely satamassa'!AZ22</f>
        <v>0</v>
      </c>
      <c r="CW22" s="531">
        <f>'3 Saalis'!CR78*'5 Kalan alkukäsittely satamassa'!BA22</f>
        <v>0</v>
      </c>
      <c r="CX22" s="531">
        <f>'3 Saalis'!CS78*'5 Kalan alkukäsittely satamassa'!BB22</f>
        <v>0</v>
      </c>
      <c r="CY22" s="531">
        <f>'3 Saalis'!CT78*'5 Kalan alkukäsittely satamassa'!BC22</f>
        <v>0</v>
      </c>
      <c r="CZ22" s="531">
        <f>'3 Saalis'!CU78*'5 Kalan alkukäsittely satamassa'!BD22</f>
        <v>0</v>
      </c>
      <c r="DA22" s="531">
        <f>'3 Saalis'!CV78*'5 Kalan alkukäsittely satamassa'!BE22</f>
        <v>0</v>
      </c>
      <c r="DC22" s="40" t="s">
        <v>111</v>
      </c>
      <c r="DD22" s="76"/>
      <c r="DE22" s="512">
        <f>SUM(DF22:DQ22)</f>
        <v>0</v>
      </c>
      <c r="DF22" s="521">
        <f>'3 Saalis'!CK100*'5 Kalan alkukäsittely satamassa'!AT22</f>
        <v>0</v>
      </c>
      <c r="DG22" s="531">
        <f>'3 Saalis'!CL100*'5 Kalan alkukäsittely satamassa'!AU22</f>
        <v>0</v>
      </c>
      <c r="DH22" s="531">
        <f>'3 Saalis'!CM100*'5 Kalan alkukäsittely satamassa'!AV22</f>
        <v>0</v>
      </c>
      <c r="DI22" s="531">
        <f>'3 Saalis'!CN100*'5 Kalan alkukäsittely satamassa'!AW22</f>
        <v>0</v>
      </c>
      <c r="DJ22" s="531">
        <f>'3 Saalis'!CO100*'5 Kalan alkukäsittely satamassa'!AX22</f>
        <v>0</v>
      </c>
      <c r="DK22" s="531">
        <f>'3 Saalis'!CP100*'5 Kalan alkukäsittely satamassa'!AY22</f>
        <v>0</v>
      </c>
      <c r="DL22" s="531">
        <f>'3 Saalis'!CQ100*'5 Kalan alkukäsittely satamassa'!AZ22</f>
        <v>0</v>
      </c>
      <c r="DM22" s="531">
        <f>'3 Saalis'!CR100*'5 Kalan alkukäsittely satamassa'!BA22</f>
        <v>0</v>
      </c>
      <c r="DN22" s="531">
        <f>'3 Saalis'!CS100*'5 Kalan alkukäsittely satamassa'!BB22</f>
        <v>0</v>
      </c>
      <c r="DO22" s="531">
        <f>'3 Saalis'!CT100*'5 Kalan alkukäsittely satamassa'!BC22</f>
        <v>0</v>
      </c>
      <c r="DP22" s="531">
        <f>'3 Saalis'!CU100*'5 Kalan alkukäsittely satamassa'!BD22</f>
        <v>0</v>
      </c>
      <c r="DQ22" s="531">
        <f>'3 Saalis'!CV100*'5 Kalan alkukäsittely satamassa'!BE22</f>
        <v>0</v>
      </c>
      <c r="DS22" s="40" t="s">
        <v>111</v>
      </c>
      <c r="DT22" s="76"/>
      <c r="DU22" s="512">
        <f>SUM(DV22:EG22)</f>
        <v>0</v>
      </c>
      <c r="DV22" s="521">
        <f>AT22*'3 Saalis'!CK122</f>
        <v>0</v>
      </c>
      <c r="DW22" s="531">
        <f>AU22*'3 Saalis'!CL122</f>
        <v>0</v>
      </c>
      <c r="DX22" s="531">
        <f>AV22*'3 Saalis'!CM122</f>
        <v>0</v>
      </c>
      <c r="DY22" s="531">
        <f>AW22*'3 Saalis'!CN122</f>
        <v>0</v>
      </c>
      <c r="DZ22" s="531">
        <f>AX22*'3 Saalis'!CO122</f>
        <v>0</v>
      </c>
      <c r="EA22" s="531">
        <f>AY22*'3 Saalis'!CP122</f>
        <v>0</v>
      </c>
      <c r="EB22" s="531">
        <f>AZ22*'3 Saalis'!CQ122</f>
        <v>0</v>
      </c>
      <c r="EC22" s="531">
        <f>BA22*'3 Saalis'!CR122</f>
        <v>0</v>
      </c>
      <c r="ED22" s="531">
        <f>BB22*'3 Saalis'!CS122</f>
        <v>0</v>
      </c>
      <c r="EE22" s="531">
        <f>BC22*'3 Saalis'!CT122</f>
        <v>0</v>
      </c>
      <c r="EF22" s="531">
        <f>BD22*'3 Saalis'!CU122</f>
        <v>0</v>
      </c>
      <c r="EG22" s="531">
        <f>BE22*'3 Saalis'!CV122</f>
        <v>0</v>
      </c>
      <c r="EI22" s="40" t="s">
        <v>111</v>
      </c>
      <c r="EJ22" s="76"/>
      <c r="EK22" s="512">
        <f>SUM(EL22:EW22)</f>
        <v>0</v>
      </c>
      <c r="EL22" s="521">
        <f>AT22*'3 Saalis'!CK144</f>
        <v>0</v>
      </c>
      <c r="EM22" s="531">
        <f>AU22*'3 Saalis'!CL144</f>
        <v>0</v>
      </c>
      <c r="EN22" s="531">
        <f>AV22*'3 Saalis'!CM144</f>
        <v>0</v>
      </c>
      <c r="EO22" s="531">
        <f>AW22*'3 Saalis'!CN144</f>
        <v>0</v>
      </c>
      <c r="EP22" s="531">
        <f>AX22*'3 Saalis'!CO144</f>
        <v>0</v>
      </c>
      <c r="EQ22" s="531">
        <f>AY22*'3 Saalis'!CP144</f>
        <v>0</v>
      </c>
      <c r="ER22" s="531">
        <f>AZ22*'3 Saalis'!CQ144</f>
        <v>0</v>
      </c>
      <c r="ES22" s="531">
        <f>BA22*'3 Saalis'!CR144</f>
        <v>0</v>
      </c>
      <c r="ET22" s="531">
        <f>BB22*'3 Saalis'!CS144</f>
        <v>0</v>
      </c>
      <c r="EU22" s="531">
        <f>BC22*'3 Saalis'!CT144</f>
        <v>0</v>
      </c>
      <c r="EV22" s="531">
        <f>BD22*'3 Saalis'!CU144</f>
        <v>0</v>
      </c>
      <c r="EW22" s="531">
        <f>BE22*'3 Saalis'!CV144</f>
        <v>0</v>
      </c>
    </row>
    <row r="23" spans="2:153" ht="13.5" thickBot="1" x14ac:dyDescent="0.25">
      <c r="I23" s="15"/>
      <c r="M23" s="106"/>
      <c r="AC23" s="35"/>
      <c r="AS23" s="106"/>
      <c r="BW23"/>
      <c r="BX23"/>
      <c r="CM23"/>
      <c r="CN23"/>
      <c r="DE23" s="106"/>
      <c r="DF23" s="106"/>
      <c r="DG23" s="106"/>
      <c r="DH23" s="106"/>
      <c r="DI23" s="106"/>
      <c r="DJ23" s="106"/>
      <c r="DK23" s="106"/>
      <c r="DL23" s="106"/>
      <c r="DM23" s="106"/>
      <c r="DN23" s="106"/>
      <c r="DO23" s="106"/>
      <c r="DP23" s="106"/>
      <c r="DQ23" s="106"/>
      <c r="DU23" s="106"/>
      <c r="DV23" s="106"/>
      <c r="DW23" s="106"/>
      <c r="DX23" s="106"/>
      <c r="DY23" s="106"/>
      <c r="DZ23" s="106"/>
      <c r="EA23" s="106"/>
      <c r="EB23" s="106"/>
      <c r="EC23" s="106"/>
      <c r="ED23" s="106"/>
      <c r="EE23" s="106"/>
      <c r="EF23" s="106"/>
      <c r="EG23" s="106"/>
      <c r="EK23" s="106"/>
      <c r="EL23" s="106"/>
      <c r="EM23" s="106"/>
      <c r="EN23" s="106"/>
      <c r="EO23" s="106"/>
      <c r="EP23" s="106"/>
      <c r="EQ23" s="106"/>
      <c r="ER23" s="106"/>
      <c r="ES23" s="106"/>
      <c r="ET23" s="106"/>
      <c r="EU23" s="106"/>
      <c r="EV23" s="106"/>
      <c r="EW23" s="106"/>
    </row>
    <row r="24" spans="2:153" ht="13.5" thickBot="1" x14ac:dyDescent="0.25">
      <c r="B24" s="1200" t="s">
        <v>173</v>
      </c>
      <c r="C24" s="368" t="s">
        <v>553</v>
      </c>
      <c r="D24" s="51" t="s">
        <v>110</v>
      </c>
      <c r="E24" s="83" t="s">
        <v>114</v>
      </c>
      <c r="F24" s="51" t="s">
        <v>111</v>
      </c>
      <c r="G24" s="52" t="s">
        <v>176</v>
      </c>
      <c r="H24" s="131"/>
      <c r="I24" s="202"/>
      <c r="K24" s="5" t="s">
        <v>85</v>
      </c>
      <c r="L24" s="36"/>
      <c r="M24" s="136" t="str">
        <f>'4 Myynti'!D81</f>
        <v>Koko</v>
      </c>
      <c r="N24" s="47">
        <f>'4 Myynti'!E81</f>
        <v>0</v>
      </c>
      <c r="O24" s="48">
        <f>'4 Myynti'!F81</f>
        <v>0</v>
      </c>
      <c r="P24" s="48">
        <f>'4 Myynti'!G81</f>
        <v>0</v>
      </c>
      <c r="Q24" s="48">
        <f>'4 Myynti'!H81</f>
        <v>0</v>
      </c>
      <c r="R24" s="48">
        <f>'4 Myynti'!I81</f>
        <v>0</v>
      </c>
      <c r="S24" s="41" t="str">
        <f>'4 Myynti'!J81</f>
        <v>Kuukausittain</v>
      </c>
      <c r="T24" s="48"/>
      <c r="U24" s="48">
        <f>'4 Myynti'!L81</f>
        <v>0</v>
      </c>
      <c r="V24" s="48">
        <f>'4 Myynti'!M81</f>
        <v>0</v>
      </c>
      <c r="W24" s="48">
        <f>'4 Myynti'!N81</f>
        <v>0</v>
      </c>
      <c r="X24" s="48">
        <f>'4 Myynti'!O81</f>
        <v>0</v>
      </c>
      <c r="Y24" s="49">
        <f>'4 Myynti'!P81</f>
        <v>0</v>
      </c>
      <c r="AA24" s="5" t="s">
        <v>85</v>
      </c>
      <c r="AB24" s="36"/>
      <c r="AC24" s="1165" t="s">
        <v>40</v>
      </c>
      <c r="AD24" s="137">
        <v>0</v>
      </c>
      <c r="AE24" s="138">
        <v>0</v>
      </c>
      <c r="AF24" s="138">
        <v>0</v>
      </c>
      <c r="AG24" s="138">
        <v>0</v>
      </c>
      <c r="AH24" s="138">
        <v>0</v>
      </c>
      <c r="AI24" s="139" t="s">
        <v>42</v>
      </c>
      <c r="AJ24" s="138"/>
      <c r="AK24" s="138">
        <v>0</v>
      </c>
      <c r="AL24" s="138">
        <v>0</v>
      </c>
      <c r="AM24" s="138">
        <v>0</v>
      </c>
      <c r="AN24" s="138">
        <v>0</v>
      </c>
      <c r="AO24" s="140">
        <v>0</v>
      </c>
      <c r="AQ24" s="5" t="s">
        <v>85</v>
      </c>
      <c r="AR24" s="36"/>
      <c r="AS24" s="136" t="s">
        <v>40</v>
      </c>
      <c r="AT24" s="137">
        <v>0</v>
      </c>
      <c r="AU24" s="138">
        <v>0</v>
      </c>
      <c r="AV24" s="138">
        <v>0</v>
      </c>
      <c r="AW24" s="138">
        <v>0</v>
      </c>
      <c r="AX24" s="138">
        <v>0</v>
      </c>
      <c r="AY24" s="139" t="s">
        <v>42</v>
      </c>
      <c r="AZ24" s="138"/>
      <c r="BA24" s="138">
        <v>0</v>
      </c>
      <c r="BB24" s="138">
        <v>0</v>
      </c>
      <c r="BC24" s="138">
        <v>0</v>
      </c>
      <c r="BD24" s="138">
        <v>0</v>
      </c>
      <c r="BE24" s="140">
        <v>0</v>
      </c>
      <c r="BG24" s="5" t="s">
        <v>85</v>
      </c>
      <c r="BH24" s="36"/>
      <c r="BI24" s="136" t="s">
        <v>40</v>
      </c>
      <c r="BJ24" s="137">
        <v>0</v>
      </c>
      <c r="BK24" s="138">
        <v>0</v>
      </c>
      <c r="BL24" s="138">
        <v>0</v>
      </c>
      <c r="BM24" s="138">
        <v>0</v>
      </c>
      <c r="BN24" s="138">
        <v>0</v>
      </c>
      <c r="BO24" s="139" t="s">
        <v>42</v>
      </c>
      <c r="BP24" s="138"/>
      <c r="BQ24" s="138">
        <v>0</v>
      </c>
      <c r="BR24" s="138">
        <v>0</v>
      </c>
      <c r="BS24" s="138">
        <v>0</v>
      </c>
      <c r="BT24" s="138">
        <v>0</v>
      </c>
      <c r="BU24" s="140">
        <v>0</v>
      </c>
      <c r="BW24" s="5" t="s">
        <v>85</v>
      </c>
      <c r="BX24" s="36"/>
      <c r="BY24" s="136" t="s">
        <v>40</v>
      </c>
      <c r="BZ24" s="137">
        <v>0</v>
      </c>
      <c r="CA24" s="138">
        <v>0</v>
      </c>
      <c r="CB24" s="138">
        <v>0</v>
      </c>
      <c r="CC24" s="138">
        <v>0</v>
      </c>
      <c r="CD24" s="138">
        <v>0</v>
      </c>
      <c r="CE24" s="139" t="s">
        <v>42</v>
      </c>
      <c r="CF24" s="138"/>
      <c r="CG24" s="138">
        <v>0</v>
      </c>
      <c r="CH24" s="138">
        <v>0</v>
      </c>
      <c r="CI24" s="138">
        <v>0</v>
      </c>
      <c r="CJ24" s="138">
        <v>0</v>
      </c>
      <c r="CK24" s="140">
        <v>0</v>
      </c>
      <c r="CM24" s="5" t="s">
        <v>85</v>
      </c>
      <c r="CN24" s="36"/>
      <c r="CO24" s="136" t="s">
        <v>40</v>
      </c>
      <c r="CP24" s="137">
        <v>0</v>
      </c>
      <c r="CQ24" s="138">
        <v>0</v>
      </c>
      <c r="CR24" s="138">
        <v>0</v>
      </c>
      <c r="CS24" s="138">
        <v>0</v>
      </c>
      <c r="CT24" s="138">
        <v>0</v>
      </c>
      <c r="CU24" s="139" t="s">
        <v>42</v>
      </c>
      <c r="CV24" s="138"/>
      <c r="CW24" s="138">
        <v>0</v>
      </c>
      <c r="CX24" s="138">
        <v>0</v>
      </c>
      <c r="CY24" s="138">
        <v>0</v>
      </c>
      <c r="CZ24" s="138">
        <v>0</v>
      </c>
      <c r="DA24" s="140">
        <v>0</v>
      </c>
      <c r="DC24" s="5" t="s">
        <v>85</v>
      </c>
      <c r="DD24" s="36"/>
      <c r="DE24" s="136" t="s">
        <v>40</v>
      </c>
      <c r="DF24" s="137">
        <v>0</v>
      </c>
      <c r="DG24" s="138">
        <v>0</v>
      </c>
      <c r="DH24" s="138">
        <v>0</v>
      </c>
      <c r="DI24" s="138">
        <v>0</v>
      </c>
      <c r="DJ24" s="138">
        <v>0</v>
      </c>
      <c r="DK24" s="139" t="s">
        <v>42</v>
      </c>
      <c r="DL24" s="138"/>
      <c r="DM24" s="138">
        <v>0</v>
      </c>
      <c r="DN24" s="138">
        <v>0</v>
      </c>
      <c r="DO24" s="138">
        <v>0</v>
      </c>
      <c r="DP24" s="138">
        <v>0</v>
      </c>
      <c r="DQ24" s="140">
        <v>0</v>
      </c>
      <c r="DS24" s="5" t="s">
        <v>85</v>
      </c>
      <c r="DT24" s="36"/>
      <c r="DU24" s="136" t="s">
        <v>40</v>
      </c>
      <c r="DV24" s="137">
        <v>0</v>
      </c>
      <c r="DW24" s="138">
        <v>0</v>
      </c>
      <c r="DX24" s="138">
        <v>0</v>
      </c>
      <c r="DY24" s="138">
        <v>0</v>
      </c>
      <c r="DZ24" s="138">
        <v>0</v>
      </c>
      <c r="EA24" s="139" t="s">
        <v>42</v>
      </c>
      <c r="EB24" s="138"/>
      <c r="EC24" s="138">
        <v>0</v>
      </c>
      <c r="ED24" s="138">
        <v>0</v>
      </c>
      <c r="EE24" s="138">
        <v>0</v>
      </c>
      <c r="EF24" s="138">
        <v>0</v>
      </c>
      <c r="EG24" s="140">
        <v>0</v>
      </c>
      <c r="EI24" s="5" t="s">
        <v>85</v>
      </c>
      <c r="EJ24" s="36"/>
      <c r="EK24" s="136" t="s">
        <v>40</v>
      </c>
      <c r="EL24" s="137">
        <v>0</v>
      </c>
      <c r="EM24" s="138">
        <v>0</v>
      </c>
      <c r="EN24" s="138">
        <v>0</v>
      </c>
      <c r="EO24" s="138">
        <v>0</v>
      </c>
      <c r="EP24" s="138">
        <v>0</v>
      </c>
      <c r="EQ24" s="139" t="s">
        <v>42</v>
      </c>
      <c r="ER24" s="138"/>
      <c r="ES24" s="138">
        <v>0</v>
      </c>
      <c r="ET24" s="138">
        <v>0</v>
      </c>
      <c r="EU24" s="138">
        <v>0</v>
      </c>
      <c r="EV24" s="138">
        <v>0</v>
      </c>
      <c r="EW24" s="140">
        <v>0</v>
      </c>
    </row>
    <row r="25" spans="2:153" ht="13.5" thickBot="1" x14ac:dyDescent="0.25">
      <c r="B25" s="1201" t="s">
        <v>183</v>
      </c>
      <c r="C25" s="369" t="s">
        <v>552</v>
      </c>
      <c r="D25" s="28"/>
      <c r="E25" s="3"/>
      <c r="F25" s="28"/>
      <c r="G25" s="55" t="s">
        <v>177</v>
      </c>
      <c r="H25" s="131"/>
      <c r="I25" s="202"/>
      <c r="K25" s="57"/>
      <c r="L25" s="59"/>
      <c r="M25" s="141" t="str">
        <f>'4 Myynti'!D82</f>
        <v>kausi</v>
      </c>
      <c r="N25" s="72">
        <f>'4 Myynti'!E82</f>
        <v>1</v>
      </c>
      <c r="O25" s="70">
        <f>'4 Myynti'!F82</f>
        <v>2</v>
      </c>
      <c r="P25" s="70">
        <f>'4 Myynti'!G82</f>
        <v>3</v>
      </c>
      <c r="Q25" s="70">
        <f>'4 Myynti'!H82</f>
        <v>4</v>
      </c>
      <c r="R25" s="70">
        <f>'4 Myynti'!I82</f>
        <v>5</v>
      </c>
      <c r="S25" s="70">
        <f>'4 Myynti'!J82</f>
        <v>6</v>
      </c>
      <c r="T25" s="70">
        <f>'4 Myynti'!K82</f>
        <v>7</v>
      </c>
      <c r="U25" s="70">
        <f>'4 Myynti'!L82</f>
        <v>8</v>
      </c>
      <c r="V25" s="70">
        <f>'4 Myynti'!M82</f>
        <v>9</v>
      </c>
      <c r="W25" s="70">
        <f>'4 Myynti'!N82</f>
        <v>10</v>
      </c>
      <c r="X25" s="70">
        <f>'4 Myynti'!O82</f>
        <v>11</v>
      </c>
      <c r="Y25" s="79">
        <f>'4 Myynti'!P82</f>
        <v>12</v>
      </c>
      <c r="AA25" s="40"/>
      <c r="AB25" s="56"/>
      <c r="AC25" s="1166" t="s">
        <v>41</v>
      </c>
      <c r="AD25" s="145">
        <v>1</v>
      </c>
      <c r="AE25" s="146">
        <v>2</v>
      </c>
      <c r="AF25" s="146">
        <v>3</v>
      </c>
      <c r="AG25" s="146">
        <v>4</v>
      </c>
      <c r="AH25" s="146">
        <v>5</v>
      </c>
      <c r="AI25" s="146">
        <v>6</v>
      </c>
      <c r="AJ25" s="146">
        <v>7</v>
      </c>
      <c r="AK25" s="146">
        <v>8</v>
      </c>
      <c r="AL25" s="146">
        <v>9</v>
      </c>
      <c r="AM25" s="146">
        <v>10</v>
      </c>
      <c r="AN25" s="146">
        <v>11</v>
      </c>
      <c r="AO25" s="147">
        <v>12</v>
      </c>
      <c r="AQ25" s="40"/>
      <c r="AR25" s="56"/>
      <c r="AS25" s="141" t="s">
        <v>41</v>
      </c>
      <c r="AT25" s="145">
        <v>1</v>
      </c>
      <c r="AU25" s="146">
        <v>2</v>
      </c>
      <c r="AV25" s="146">
        <v>3</v>
      </c>
      <c r="AW25" s="146">
        <v>4</v>
      </c>
      <c r="AX25" s="146">
        <v>5</v>
      </c>
      <c r="AY25" s="146">
        <v>6</v>
      </c>
      <c r="AZ25" s="146">
        <v>7</v>
      </c>
      <c r="BA25" s="146">
        <v>8</v>
      </c>
      <c r="BB25" s="146">
        <v>9</v>
      </c>
      <c r="BC25" s="146">
        <v>10</v>
      </c>
      <c r="BD25" s="146">
        <v>11</v>
      </c>
      <c r="BE25" s="147">
        <v>12</v>
      </c>
      <c r="BG25" s="40"/>
      <c r="BH25" s="56"/>
      <c r="BI25" s="141" t="s">
        <v>41</v>
      </c>
      <c r="BJ25" s="145">
        <v>1</v>
      </c>
      <c r="BK25" s="146">
        <v>2</v>
      </c>
      <c r="BL25" s="146">
        <v>3</v>
      </c>
      <c r="BM25" s="146">
        <v>4</v>
      </c>
      <c r="BN25" s="146">
        <v>5</v>
      </c>
      <c r="BO25" s="146">
        <v>6</v>
      </c>
      <c r="BP25" s="146">
        <v>7</v>
      </c>
      <c r="BQ25" s="146">
        <v>8</v>
      </c>
      <c r="BR25" s="146">
        <v>9</v>
      </c>
      <c r="BS25" s="146">
        <v>10</v>
      </c>
      <c r="BT25" s="146">
        <v>11</v>
      </c>
      <c r="BU25" s="147">
        <v>12</v>
      </c>
      <c r="BW25" s="40"/>
      <c r="BX25" s="56"/>
      <c r="BY25" s="141" t="s">
        <v>41</v>
      </c>
      <c r="BZ25" s="145">
        <v>1</v>
      </c>
      <c r="CA25" s="146">
        <v>2</v>
      </c>
      <c r="CB25" s="146">
        <v>3</v>
      </c>
      <c r="CC25" s="146">
        <v>4</v>
      </c>
      <c r="CD25" s="146">
        <v>5</v>
      </c>
      <c r="CE25" s="146">
        <v>6</v>
      </c>
      <c r="CF25" s="146">
        <v>7</v>
      </c>
      <c r="CG25" s="146">
        <v>8</v>
      </c>
      <c r="CH25" s="146">
        <v>9</v>
      </c>
      <c r="CI25" s="146">
        <v>10</v>
      </c>
      <c r="CJ25" s="146">
        <v>11</v>
      </c>
      <c r="CK25" s="147">
        <v>12</v>
      </c>
      <c r="CM25" s="40"/>
      <c r="CN25" s="56"/>
      <c r="CO25" s="141" t="s">
        <v>41</v>
      </c>
      <c r="CP25" s="145">
        <v>1</v>
      </c>
      <c r="CQ25" s="146">
        <v>2</v>
      </c>
      <c r="CR25" s="146">
        <v>3</v>
      </c>
      <c r="CS25" s="146">
        <v>4</v>
      </c>
      <c r="CT25" s="146">
        <v>5</v>
      </c>
      <c r="CU25" s="146">
        <v>6</v>
      </c>
      <c r="CV25" s="146">
        <v>7</v>
      </c>
      <c r="CW25" s="146">
        <v>8</v>
      </c>
      <c r="CX25" s="146">
        <v>9</v>
      </c>
      <c r="CY25" s="146">
        <v>10</v>
      </c>
      <c r="CZ25" s="146">
        <v>11</v>
      </c>
      <c r="DA25" s="147">
        <v>12</v>
      </c>
      <c r="DC25" s="40"/>
      <c r="DD25" s="56"/>
      <c r="DE25" s="141" t="s">
        <v>41</v>
      </c>
      <c r="DF25" s="145">
        <v>1</v>
      </c>
      <c r="DG25" s="146">
        <v>2</v>
      </c>
      <c r="DH25" s="146">
        <v>3</v>
      </c>
      <c r="DI25" s="146">
        <v>4</v>
      </c>
      <c r="DJ25" s="146">
        <v>5</v>
      </c>
      <c r="DK25" s="146">
        <v>6</v>
      </c>
      <c r="DL25" s="146">
        <v>7</v>
      </c>
      <c r="DM25" s="146">
        <v>8</v>
      </c>
      <c r="DN25" s="146">
        <v>9</v>
      </c>
      <c r="DO25" s="146">
        <v>10</v>
      </c>
      <c r="DP25" s="146">
        <v>11</v>
      </c>
      <c r="DQ25" s="147">
        <v>12</v>
      </c>
      <c r="DS25" s="40"/>
      <c r="DT25" s="56"/>
      <c r="DU25" s="141" t="s">
        <v>41</v>
      </c>
      <c r="DV25" s="145">
        <v>1</v>
      </c>
      <c r="DW25" s="146">
        <v>2</v>
      </c>
      <c r="DX25" s="146">
        <v>3</v>
      </c>
      <c r="DY25" s="146">
        <v>4</v>
      </c>
      <c r="DZ25" s="146">
        <v>5</v>
      </c>
      <c r="EA25" s="146">
        <v>6</v>
      </c>
      <c r="EB25" s="146">
        <v>7</v>
      </c>
      <c r="EC25" s="146">
        <v>8</v>
      </c>
      <c r="ED25" s="146">
        <v>9</v>
      </c>
      <c r="EE25" s="146">
        <v>10</v>
      </c>
      <c r="EF25" s="146">
        <v>11</v>
      </c>
      <c r="EG25" s="147">
        <v>12</v>
      </c>
      <c r="EI25" s="40"/>
      <c r="EJ25" s="56"/>
      <c r="EK25" s="141" t="s">
        <v>41</v>
      </c>
      <c r="EL25" s="145">
        <v>1</v>
      </c>
      <c r="EM25" s="146">
        <v>2</v>
      </c>
      <c r="EN25" s="146">
        <v>3</v>
      </c>
      <c r="EO25" s="146">
        <v>4</v>
      </c>
      <c r="EP25" s="146">
        <v>5</v>
      </c>
      <c r="EQ25" s="146">
        <v>6</v>
      </c>
      <c r="ER25" s="146">
        <v>7</v>
      </c>
      <c r="ES25" s="146">
        <v>8</v>
      </c>
      <c r="ET25" s="146">
        <v>9</v>
      </c>
      <c r="EU25" s="146">
        <v>10</v>
      </c>
      <c r="EV25" s="146">
        <v>11</v>
      </c>
      <c r="EW25" s="147">
        <v>12</v>
      </c>
    </row>
    <row r="26" spans="2:153" x14ac:dyDescent="0.2">
      <c r="B26" s="1202" t="s">
        <v>531</v>
      </c>
      <c r="C26" s="369"/>
      <c r="D26" s="20"/>
      <c r="E26" s="3"/>
      <c r="F26" s="20"/>
      <c r="G26" s="16"/>
      <c r="I26" s="15"/>
      <c r="K26" s="5" t="s">
        <v>179</v>
      </c>
      <c r="L26" s="13"/>
      <c r="M26" s="425">
        <f t="shared" ref="M26:M34" si="6">SUM(N26:Y26)</f>
        <v>0</v>
      </c>
      <c r="N26" s="499">
        <f>'4 Myynti'!E85+'4 Myynti'!E95</f>
        <v>0</v>
      </c>
      <c r="O26" s="499">
        <f>'4 Myynti'!F85+'4 Myynti'!F95</f>
        <v>0</v>
      </c>
      <c r="P26" s="499">
        <f>'4 Myynti'!G85+'4 Myynti'!G95</f>
        <v>0</v>
      </c>
      <c r="Q26" s="499">
        <f>'4 Myynti'!H85+'4 Myynti'!H95</f>
        <v>0</v>
      </c>
      <c r="R26" s="499">
        <f>'4 Myynti'!I85+'4 Myynti'!I95</f>
        <v>0</v>
      </c>
      <c r="S26" s="499">
        <f>'4 Myynti'!J85+'4 Myynti'!J95</f>
        <v>0</v>
      </c>
      <c r="T26" s="499">
        <f>'4 Myynti'!K85+'4 Myynti'!K95</f>
        <v>0</v>
      </c>
      <c r="U26" s="499">
        <f>'4 Myynti'!L85+'4 Myynti'!L95</f>
        <v>0</v>
      </c>
      <c r="V26" s="499">
        <f>'4 Myynti'!M85+'4 Myynti'!M95</f>
        <v>0</v>
      </c>
      <c r="W26" s="499">
        <f>'4 Myynti'!N85+'4 Myynti'!N95</f>
        <v>0</v>
      </c>
      <c r="X26" s="499">
        <f>'4 Myynti'!O85+'4 Myynti'!O95</f>
        <v>0</v>
      </c>
      <c r="Y26" s="499">
        <f>'4 Myynti'!P85+'4 Myynti'!P95</f>
        <v>0</v>
      </c>
      <c r="AA26" s="57" t="s">
        <v>179</v>
      </c>
      <c r="AB26" s="68"/>
      <c r="AC26" s="1390">
        <f>SUM(AD26:AO26)</f>
        <v>0</v>
      </c>
      <c r="AD26" s="516">
        <f>$C$32*N26/100*$D$32</f>
        <v>0</v>
      </c>
      <c r="AE26" s="516">
        <f t="shared" ref="AE26:AO26" si="7">$C$32*O26/100*$D$32</f>
        <v>0</v>
      </c>
      <c r="AF26" s="516">
        <f t="shared" si="7"/>
        <v>0</v>
      </c>
      <c r="AG26" s="516">
        <f t="shared" si="7"/>
        <v>0</v>
      </c>
      <c r="AH26" s="516">
        <f t="shared" si="7"/>
        <v>0</v>
      </c>
      <c r="AI26" s="516">
        <f t="shared" si="7"/>
        <v>0</v>
      </c>
      <c r="AJ26" s="516">
        <f t="shared" si="7"/>
        <v>0</v>
      </c>
      <c r="AK26" s="516">
        <f t="shared" si="7"/>
        <v>0</v>
      </c>
      <c r="AL26" s="516">
        <f t="shared" si="7"/>
        <v>0</v>
      </c>
      <c r="AM26" s="516">
        <f t="shared" si="7"/>
        <v>0</v>
      </c>
      <c r="AN26" s="516">
        <f t="shared" si="7"/>
        <v>0</v>
      </c>
      <c r="AO26" s="516">
        <f t="shared" si="7"/>
        <v>0</v>
      </c>
      <c r="AQ26" s="57" t="s">
        <v>179</v>
      </c>
      <c r="AR26" s="68"/>
      <c r="AS26" s="425">
        <f t="shared" ref="AS26:AS34" si="8">SUM(AT26:BE26)</f>
        <v>0</v>
      </c>
      <c r="AT26" s="516">
        <f>AD26*'11. Työtunnit'!$C$7</f>
        <v>0</v>
      </c>
      <c r="AU26" s="516">
        <f>AE26*'11. Työtunnit'!$C$7</f>
        <v>0</v>
      </c>
      <c r="AV26" s="516">
        <f>AF26*'11. Työtunnit'!$C$7</f>
        <v>0</v>
      </c>
      <c r="AW26" s="516">
        <f>AG26*'11. Työtunnit'!$C$7</f>
        <v>0</v>
      </c>
      <c r="AX26" s="516">
        <f>AH26*'11. Työtunnit'!$C$7</f>
        <v>0</v>
      </c>
      <c r="AY26" s="516">
        <f>AI26*'11. Työtunnit'!$C$7</f>
        <v>0</v>
      </c>
      <c r="AZ26" s="516">
        <f>AJ26*'11. Työtunnit'!$C$7</f>
        <v>0</v>
      </c>
      <c r="BA26" s="516">
        <f>AK26*'11. Työtunnit'!$C$7</f>
        <v>0</v>
      </c>
      <c r="BB26" s="516">
        <f>AL26*'11. Työtunnit'!$C$7</f>
        <v>0</v>
      </c>
      <c r="BC26" s="516">
        <f>AM26*'11. Työtunnit'!$C$7</f>
        <v>0</v>
      </c>
      <c r="BD26" s="516">
        <f>AN26*'11. Työtunnit'!$C$7</f>
        <v>0</v>
      </c>
      <c r="BE26" s="516">
        <f>AO26*'11. Työtunnit'!$C$7</f>
        <v>0</v>
      </c>
      <c r="BG26" s="57" t="s">
        <v>179</v>
      </c>
      <c r="BH26" s="68"/>
      <c r="BI26" s="425">
        <f t="shared" ref="BI26:BI34" si="9">SUM(BJ26:BU26)</f>
        <v>0</v>
      </c>
      <c r="BJ26" s="516">
        <f>AT26*'3 Saalis'!CK35</f>
        <v>0</v>
      </c>
      <c r="BK26" s="516">
        <f>AU26*'3 Saalis'!CL35</f>
        <v>0</v>
      </c>
      <c r="BL26" s="516">
        <f>AV26*'3 Saalis'!CM35</f>
        <v>0</v>
      </c>
      <c r="BM26" s="516">
        <f>AW26*'3 Saalis'!CN35</f>
        <v>0</v>
      </c>
      <c r="BN26" s="516">
        <f>AX26*'3 Saalis'!CO35</f>
        <v>0</v>
      </c>
      <c r="BO26" s="516">
        <f>AY26*'3 Saalis'!CP35</f>
        <v>0</v>
      </c>
      <c r="BP26" s="516">
        <f>AZ26*'3 Saalis'!CQ35</f>
        <v>0</v>
      </c>
      <c r="BQ26" s="516">
        <f>BA26*'3 Saalis'!CR35</f>
        <v>0</v>
      </c>
      <c r="BR26" s="516">
        <f>BB26*'3 Saalis'!CS35</f>
        <v>0</v>
      </c>
      <c r="BS26" s="516">
        <f>BC26*'3 Saalis'!CT35</f>
        <v>0</v>
      </c>
      <c r="BT26" s="516">
        <f>BD26*'3 Saalis'!CU35</f>
        <v>0</v>
      </c>
      <c r="BU26" s="516">
        <f>BE26*'3 Saalis'!CV35</f>
        <v>0</v>
      </c>
      <c r="BW26" s="57" t="s">
        <v>179</v>
      </c>
      <c r="BX26" s="68"/>
      <c r="BY26" s="425">
        <f t="shared" ref="BY26:BY34" si="10">SUM(BZ26:CK26)</f>
        <v>0</v>
      </c>
      <c r="BZ26" s="516">
        <f>AT26*'3 Saalis'!CK57</f>
        <v>0</v>
      </c>
      <c r="CA26" s="516">
        <f>AU26*'3 Saalis'!CL57</f>
        <v>0</v>
      </c>
      <c r="CB26" s="516">
        <f>AV26*'3 Saalis'!CM57</f>
        <v>0</v>
      </c>
      <c r="CC26" s="516">
        <f>AW26*'3 Saalis'!CN57</f>
        <v>0</v>
      </c>
      <c r="CD26" s="516">
        <f>AX26*'3 Saalis'!CO57</f>
        <v>0</v>
      </c>
      <c r="CE26" s="516">
        <f>AY26*'3 Saalis'!CP57</f>
        <v>0</v>
      </c>
      <c r="CF26" s="516">
        <f>AZ26*'3 Saalis'!CQ57</f>
        <v>0</v>
      </c>
      <c r="CG26" s="516">
        <f>BA26*'3 Saalis'!CR57</f>
        <v>0</v>
      </c>
      <c r="CH26" s="516">
        <f>BB26*'3 Saalis'!CS57</f>
        <v>0</v>
      </c>
      <c r="CI26" s="516">
        <f>BC26*'3 Saalis'!CT57</f>
        <v>0</v>
      </c>
      <c r="CJ26" s="516">
        <f>BD26*'3 Saalis'!CU57</f>
        <v>0</v>
      </c>
      <c r="CK26" s="516">
        <f>BE26*'3 Saalis'!CV57</f>
        <v>0</v>
      </c>
      <c r="CM26" s="57" t="s">
        <v>179</v>
      </c>
      <c r="CN26" s="68"/>
      <c r="CO26" s="425">
        <f t="shared" ref="CO26:CO34" si="11">SUM(CP26:DA26)</f>
        <v>0</v>
      </c>
      <c r="CP26" s="516">
        <f>AT26*'3 Saalis'!CK79</f>
        <v>0</v>
      </c>
      <c r="CQ26" s="516">
        <f>AU26*'3 Saalis'!CL79</f>
        <v>0</v>
      </c>
      <c r="CR26" s="516">
        <f>AV26*'3 Saalis'!CM79</f>
        <v>0</v>
      </c>
      <c r="CS26" s="516">
        <f>AW26*'3 Saalis'!CN79</f>
        <v>0</v>
      </c>
      <c r="CT26" s="516">
        <f>AX26*'3 Saalis'!CO79</f>
        <v>0</v>
      </c>
      <c r="CU26" s="516">
        <f>AY26*'3 Saalis'!CP79</f>
        <v>0</v>
      </c>
      <c r="CV26" s="516">
        <f>AZ26*'3 Saalis'!CQ79</f>
        <v>0</v>
      </c>
      <c r="CW26" s="516">
        <f>BA26*'3 Saalis'!CR79</f>
        <v>0</v>
      </c>
      <c r="CX26" s="516">
        <f>BB26*'3 Saalis'!CS79</f>
        <v>0</v>
      </c>
      <c r="CY26" s="516">
        <f>BC26*'3 Saalis'!CT79</f>
        <v>0</v>
      </c>
      <c r="CZ26" s="516">
        <f>BD26*'3 Saalis'!CU79</f>
        <v>0</v>
      </c>
      <c r="DA26" s="516">
        <f>BE26*'3 Saalis'!CV79</f>
        <v>0</v>
      </c>
      <c r="DC26" s="57" t="s">
        <v>179</v>
      </c>
      <c r="DD26" s="68"/>
      <c r="DE26" s="425">
        <f t="shared" ref="DE26:DE34" si="12">SUM(DF26:DQ26)</f>
        <v>0</v>
      </c>
      <c r="DF26" s="516">
        <f>AT26*'3 Saalis'!CK101</f>
        <v>0</v>
      </c>
      <c r="DG26" s="516">
        <f>AU26*'3 Saalis'!CL101</f>
        <v>0</v>
      </c>
      <c r="DH26" s="516">
        <f>AV26*'3 Saalis'!CM101</f>
        <v>0</v>
      </c>
      <c r="DI26" s="516">
        <f>AW26*'3 Saalis'!CN101</f>
        <v>0</v>
      </c>
      <c r="DJ26" s="516">
        <f>AX26*'3 Saalis'!CO101</f>
        <v>0</v>
      </c>
      <c r="DK26" s="516">
        <f>AY26*'3 Saalis'!CP101</f>
        <v>0</v>
      </c>
      <c r="DL26" s="516">
        <f>AZ26*'3 Saalis'!CQ101</f>
        <v>0</v>
      </c>
      <c r="DM26" s="516">
        <f>BA26*'3 Saalis'!CR101</f>
        <v>0</v>
      </c>
      <c r="DN26" s="516">
        <f>BB26*'3 Saalis'!CS101</f>
        <v>0</v>
      </c>
      <c r="DO26" s="516">
        <f>BC26*'3 Saalis'!CT101</f>
        <v>0</v>
      </c>
      <c r="DP26" s="516">
        <f>BD26*'3 Saalis'!CU101</f>
        <v>0</v>
      </c>
      <c r="DQ26" s="516">
        <f>BE26*'3 Saalis'!CV101</f>
        <v>0</v>
      </c>
      <c r="DS26" s="57" t="s">
        <v>179</v>
      </c>
      <c r="DT26" s="68"/>
      <c r="DU26" s="425">
        <f t="shared" ref="DU26:DU34" si="13">SUM(DV26:EG26)</f>
        <v>0</v>
      </c>
      <c r="DV26" s="516">
        <f>AT26*'3 Saalis'!CK123</f>
        <v>0</v>
      </c>
      <c r="DW26" s="516">
        <f>AU26*'3 Saalis'!CL123</f>
        <v>0</v>
      </c>
      <c r="DX26" s="516">
        <f>AV26*'3 Saalis'!CM123</f>
        <v>0</v>
      </c>
      <c r="DY26" s="516">
        <f>AW26*'3 Saalis'!CN123</f>
        <v>0</v>
      </c>
      <c r="DZ26" s="516">
        <f>AX26*'3 Saalis'!CO123</f>
        <v>0</v>
      </c>
      <c r="EA26" s="516">
        <f>AY26*'3 Saalis'!CP123</f>
        <v>0</v>
      </c>
      <c r="EB26" s="516">
        <f>AZ26*'3 Saalis'!CQ123</f>
        <v>0</v>
      </c>
      <c r="EC26" s="516">
        <f>BA26*'3 Saalis'!CR123</f>
        <v>0</v>
      </c>
      <c r="ED26" s="516">
        <f>BB26*'3 Saalis'!CS123</f>
        <v>0</v>
      </c>
      <c r="EE26" s="516">
        <f>BC26*'3 Saalis'!CT123</f>
        <v>0</v>
      </c>
      <c r="EF26" s="516">
        <f>BD26*'3 Saalis'!CU123</f>
        <v>0</v>
      </c>
      <c r="EG26" s="516">
        <f>BE26*'3 Saalis'!CV123</f>
        <v>0</v>
      </c>
      <c r="EI26" s="57" t="s">
        <v>179</v>
      </c>
      <c r="EJ26" s="68"/>
      <c r="EK26" s="425">
        <f t="shared" ref="EK26:EK34" si="14">SUM(EL26:EW26)</f>
        <v>0</v>
      </c>
      <c r="EL26" s="516">
        <f>AT26*'3 Saalis'!CK145</f>
        <v>0</v>
      </c>
      <c r="EM26" s="516">
        <f>AU26*'3 Saalis'!CL145</f>
        <v>0</v>
      </c>
      <c r="EN26" s="516">
        <f>AV26*'3 Saalis'!CM145</f>
        <v>0</v>
      </c>
      <c r="EO26" s="516">
        <f>AW26*'3 Saalis'!CN145</f>
        <v>0</v>
      </c>
      <c r="EP26" s="516">
        <f>AX26*'3 Saalis'!CO145</f>
        <v>0</v>
      </c>
      <c r="EQ26" s="516">
        <f>AY26*'3 Saalis'!CP145</f>
        <v>0</v>
      </c>
      <c r="ER26" s="516">
        <f>AZ26*'3 Saalis'!CQ145</f>
        <v>0</v>
      </c>
      <c r="ES26" s="516">
        <f>BA26*'3 Saalis'!CR145</f>
        <v>0</v>
      </c>
      <c r="ET26" s="516">
        <f>BB26*'3 Saalis'!CS145</f>
        <v>0</v>
      </c>
      <c r="EU26" s="516">
        <f>BC26*'3 Saalis'!CT145</f>
        <v>0</v>
      </c>
      <c r="EV26" s="516">
        <f>BD26*'3 Saalis'!CU145</f>
        <v>0</v>
      </c>
      <c r="EW26" s="516">
        <f>BE26*'3 Saalis'!CV145</f>
        <v>0</v>
      </c>
    </row>
    <row r="27" spans="2:153" ht="13.5" thickBot="1" x14ac:dyDescent="0.25">
      <c r="B27" s="1202" t="s">
        <v>184</v>
      </c>
      <c r="C27" s="367"/>
      <c r="D27" s="25"/>
      <c r="E27" s="7"/>
      <c r="F27" s="25"/>
      <c r="G27" s="16"/>
      <c r="I27" s="15"/>
      <c r="K27" s="57" t="s">
        <v>180</v>
      </c>
      <c r="L27" s="68"/>
      <c r="M27" s="510">
        <f t="shared" si="6"/>
        <v>0</v>
      </c>
      <c r="N27" s="524">
        <f>'4 Myynti'!E86+'4 Myynti'!E96</f>
        <v>0</v>
      </c>
      <c r="O27" s="524">
        <f>'4 Myynti'!F86+'4 Myynti'!F96</f>
        <v>0</v>
      </c>
      <c r="P27" s="524">
        <f>'4 Myynti'!G86+'4 Myynti'!G96</f>
        <v>0</v>
      </c>
      <c r="Q27" s="524">
        <f>'4 Myynti'!H86+'4 Myynti'!H96</f>
        <v>0</v>
      </c>
      <c r="R27" s="524">
        <f>'4 Myynti'!I86+'4 Myynti'!I96</f>
        <v>0</v>
      </c>
      <c r="S27" s="524">
        <f>'4 Myynti'!J86+'4 Myynti'!J96</f>
        <v>0</v>
      </c>
      <c r="T27" s="524">
        <f>'4 Myynti'!K86+'4 Myynti'!K96</f>
        <v>0</v>
      </c>
      <c r="U27" s="524">
        <f>'4 Myynti'!L86+'4 Myynti'!L96</f>
        <v>0</v>
      </c>
      <c r="V27" s="524">
        <f>'4 Myynti'!M86+'4 Myynti'!M96</f>
        <v>0</v>
      </c>
      <c r="W27" s="524">
        <f>'4 Myynti'!N86+'4 Myynti'!N96</f>
        <v>0</v>
      </c>
      <c r="X27" s="524">
        <f>'4 Myynti'!O86+'4 Myynti'!O96</f>
        <v>0</v>
      </c>
      <c r="Y27" s="524">
        <f>'4 Myynti'!P86+'4 Myynti'!P96</f>
        <v>0</v>
      </c>
      <c r="AA27" s="57" t="s">
        <v>180</v>
      </c>
      <c r="AB27" s="68"/>
      <c r="AC27" s="1392">
        <f>SUM(AD27:AO27)</f>
        <v>0</v>
      </c>
      <c r="AD27" s="516">
        <f>$C$33*N27/100*$D$33</f>
        <v>0</v>
      </c>
      <c r="AE27" s="516">
        <f t="shared" ref="AE27:AO27" si="15">$C$33*O27/100*$D$33</f>
        <v>0</v>
      </c>
      <c r="AF27" s="516">
        <f t="shared" si="15"/>
        <v>0</v>
      </c>
      <c r="AG27" s="516">
        <f t="shared" si="15"/>
        <v>0</v>
      </c>
      <c r="AH27" s="516">
        <f t="shared" si="15"/>
        <v>0</v>
      </c>
      <c r="AI27" s="516">
        <f t="shared" si="15"/>
        <v>0</v>
      </c>
      <c r="AJ27" s="516">
        <f t="shared" si="15"/>
        <v>0</v>
      </c>
      <c r="AK27" s="516">
        <f t="shared" si="15"/>
        <v>0</v>
      </c>
      <c r="AL27" s="516">
        <f t="shared" si="15"/>
        <v>0</v>
      </c>
      <c r="AM27" s="516">
        <f t="shared" si="15"/>
        <v>0</v>
      </c>
      <c r="AN27" s="516">
        <f t="shared" si="15"/>
        <v>0</v>
      </c>
      <c r="AO27" s="516">
        <f t="shared" si="15"/>
        <v>0</v>
      </c>
      <c r="AQ27" s="57" t="s">
        <v>180</v>
      </c>
      <c r="AR27" s="68"/>
      <c r="AS27" s="510">
        <f t="shared" si="8"/>
        <v>0</v>
      </c>
      <c r="AT27" s="516">
        <f>AD27*'11. Työtunnit'!$C$7</f>
        <v>0</v>
      </c>
      <c r="AU27" s="516">
        <f>AE27*'11. Työtunnit'!$C$7</f>
        <v>0</v>
      </c>
      <c r="AV27" s="516">
        <f>AF27*'11. Työtunnit'!$C$7</f>
        <v>0</v>
      </c>
      <c r="AW27" s="516">
        <f>AG27*'11. Työtunnit'!$C$7</f>
        <v>0</v>
      </c>
      <c r="AX27" s="516">
        <f>AH27*'11. Työtunnit'!$C$7</f>
        <v>0</v>
      </c>
      <c r="AY27" s="516">
        <f>AI27*'11. Työtunnit'!$C$7</f>
        <v>0</v>
      </c>
      <c r="AZ27" s="516">
        <f>AJ27*'11. Työtunnit'!$C$7</f>
        <v>0</v>
      </c>
      <c r="BA27" s="516">
        <f>AK27*'11. Työtunnit'!$C$7</f>
        <v>0</v>
      </c>
      <c r="BB27" s="516">
        <f>AL27*'11. Työtunnit'!$C$7</f>
        <v>0</v>
      </c>
      <c r="BC27" s="516">
        <f>AM27*'11. Työtunnit'!$C$7</f>
        <v>0</v>
      </c>
      <c r="BD27" s="516">
        <f>AN27*'11. Työtunnit'!$C$7</f>
        <v>0</v>
      </c>
      <c r="BE27" s="516">
        <f>AO27*'11. Työtunnit'!$C$7</f>
        <v>0</v>
      </c>
      <c r="BG27" s="57" t="s">
        <v>180</v>
      </c>
      <c r="BH27" s="68"/>
      <c r="BI27" s="510">
        <f t="shared" si="9"/>
        <v>0</v>
      </c>
      <c r="BJ27" s="516">
        <f>AT27*'3 Saalis'!CK35</f>
        <v>0</v>
      </c>
      <c r="BK27" s="516">
        <f>AU27*'3 Saalis'!CL35</f>
        <v>0</v>
      </c>
      <c r="BL27" s="516">
        <f>AV27*'3 Saalis'!CM35</f>
        <v>0</v>
      </c>
      <c r="BM27" s="516">
        <f>AW27*'3 Saalis'!CN35</f>
        <v>0</v>
      </c>
      <c r="BN27" s="516">
        <f>AX27*'3 Saalis'!CO35</f>
        <v>0</v>
      </c>
      <c r="BO27" s="516">
        <f>AY27*'3 Saalis'!CP35</f>
        <v>0</v>
      </c>
      <c r="BP27" s="516">
        <f>AZ27*'3 Saalis'!CQ35</f>
        <v>0</v>
      </c>
      <c r="BQ27" s="516">
        <f>BA27*'3 Saalis'!CR35</f>
        <v>0</v>
      </c>
      <c r="BR27" s="516">
        <f>BB27*'3 Saalis'!CS35</f>
        <v>0</v>
      </c>
      <c r="BS27" s="516">
        <f>BC27*'3 Saalis'!CT35</f>
        <v>0</v>
      </c>
      <c r="BT27" s="516">
        <f>BD27*'3 Saalis'!CU35</f>
        <v>0</v>
      </c>
      <c r="BU27" s="516">
        <f>BE27*'3 Saalis'!CV35</f>
        <v>0</v>
      </c>
      <c r="BW27" s="57" t="s">
        <v>180</v>
      </c>
      <c r="BX27" s="68"/>
      <c r="BY27" s="510">
        <f t="shared" si="10"/>
        <v>0</v>
      </c>
      <c r="BZ27" s="516">
        <f>AT27*'3 Saalis'!CK57</f>
        <v>0</v>
      </c>
      <c r="CA27" s="516">
        <f>AU27*'3 Saalis'!CL57</f>
        <v>0</v>
      </c>
      <c r="CB27" s="516">
        <f>AV27*'3 Saalis'!CM57</f>
        <v>0</v>
      </c>
      <c r="CC27" s="516">
        <f>AW27*'3 Saalis'!CN57</f>
        <v>0</v>
      </c>
      <c r="CD27" s="516">
        <f>AX27*'3 Saalis'!CO57</f>
        <v>0</v>
      </c>
      <c r="CE27" s="516">
        <f>AY27*'3 Saalis'!CP57</f>
        <v>0</v>
      </c>
      <c r="CF27" s="516">
        <f>AZ27*'3 Saalis'!CQ57</f>
        <v>0</v>
      </c>
      <c r="CG27" s="516">
        <f>BA27*'3 Saalis'!CR57</f>
        <v>0</v>
      </c>
      <c r="CH27" s="516">
        <f>BB27*'3 Saalis'!CS57</f>
        <v>0</v>
      </c>
      <c r="CI27" s="516">
        <f>BC27*'3 Saalis'!CT57</f>
        <v>0</v>
      </c>
      <c r="CJ27" s="516">
        <f>BD27*'3 Saalis'!CU57</f>
        <v>0</v>
      </c>
      <c r="CK27" s="516">
        <f>BE27*'3 Saalis'!CV57</f>
        <v>0</v>
      </c>
      <c r="CM27" s="57" t="s">
        <v>180</v>
      </c>
      <c r="CN27" s="68"/>
      <c r="CO27" s="510">
        <f t="shared" si="11"/>
        <v>0</v>
      </c>
      <c r="CP27" s="516">
        <f>AT27*'3 Saalis'!CK79</f>
        <v>0</v>
      </c>
      <c r="CQ27" s="516">
        <f>AU27*'3 Saalis'!CL79</f>
        <v>0</v>
      </c>
      <c r="CR27" s="516">
        <f>AV27*'3 Saalis'!CM79</f>
        <v>0</v>
      </c>
      <c r="CS27" s="516">
        <f>AW27*'3 Saalis'!CN79</f>
        <v>0</v>
      </c>
      <c r="CT27" s="516">
        <f>AX27*'3 Saalis'!CO79</f>
        <v>0</v>
      </c>
      <c r="CU27" s="516">
        <f>AY27*'3 Saalis'!CP79</f>
        <v>0</v>
      </c>
      <c r="CV27" s="516">
        <f>AZ27*'3 Saalis'!CQ79</f>
        <v>0</v>
      </c>
      <c r="CW27" s="516">
        <f>BA27*'3 Saalis'!CR79</f>
        <v>0</v>
      </c>
      <c r="CX27" s="516">
        <f>BB27*'3 Saalis'!CS79</f>
        <v>0</v>
      </c>
      <c r="CY27" s="516">
        <f>BC27*'3 Saalis'!CT79</f>
        <v>0</v>
      </c>
      <c r="CZ27" s="516">
        <f>BD27*'3 Saalis'!CU79</f>
        <v>0</v>
      </c>
      <c r="DA27" s="516">
        <f>BE27*'3 Saalis'!CV79</f>
        <v>0</v>
      </c>
      <c r="DC27" s="57" t="s">
        <v>180</v>
      </c>
      <c r="DD27" s="68"/>
      <c r="DE27" s="510">
        <f t="shared" si="12"/>
        <v>0</v>
      </c>
      <c r="DF27" s="516">
        <f>AT27*'3 Saalis'!CK101</f>
        <v>0</v>
      </c>
      <c r="DG27" s="516">
        <f>AU27*'3 Saalis'!CL101</f>
        <v>0</v>
      </c>
      <c r="DH27" s="516">
        <f>AV27*'3 Saalis'!CM101</f>
        <v>0</v>
      </c>
      <c r="DI27" s="516">
        <f>AW27*'3 Saalis'!CN101</f>
        <v>0</v>
      </c>
      <c r="DJ27" s="516">
        <f>AX27*'3 Saalis'!CO101</f>
        <v>0</v>
      </c>
      <c r="DK27" s="516">
        <f>AY27*'3 Saalis'!CP101</f>
        <v>0</v>
      </c>
      <c r="DL27" s="516">
        <f>AZ27*'3 Saalis'!CQ101</f>
        <v>0</v>
      </c>
      <c r="DM27" s="516">
        <f>BA27*'3 Saalis'!CR101</f>
        <v>0</v>
      </c>
      <c r="DN27" s="516">
        <f>BB27*'3 Saalis'!CS101</f>
        <v>0</v>
      </c>
      <c r="DO27" s="516">
        <f>BC27*'3 Saalis'!CT101</f>
        <v>0</v>
      </c>
      <c r="DP27" s="516">
        <f>BD27*'3 Saalis'!CU101</f>
        <v>0</v>
      </c>
      <c r="DQ27" s="516">
        <f>BE27*'3 Saalis'!CV101</f>
        <v>0</v>
      </c>
      <c r="DS27" s="57" t="s">
        <v>180</v>
      </c>
      <c r="DT27" s="68"/>
      <c r="DU27" s="510">
        <f t="shared" si="13"/>
        <v>0</v>
      </c>
      <c r="DV27" s="516">
        <f>AT27*'3 Saalis'!CK123</f>
        <v>0</v>
      </c>
      <c r="DW27" s="516">
        <f>AU27*'3 Saalis'!CL123</f>
        <v>0</v>
      </c>
      <c r="DX27" s="516">
        <f>AV27*'3 Saalis'!CM123</f>
        <v>0</v>
      </c>
      <c r="DY27" s="516">
        <f>AW27*'3 Saalis'!CN123</f>
        <v>0</v>
      </c>
      <c r="DZ27" s="516">
        <f>AX27*'3 Saalis'!CO123</f>
        <v>0</v>
      </c>
      <c r="EA27" s="516">
        <f>AY27*'3 Saalis'!CP123</f>
        <v>0</v>
      </c>
      <c r="EB27" s="516">
        <f>AZ27*'3 Saalis'!CQ123</f>
        <v>0</v>
      </c>
      <c r="EC27" s="516">
        <f>BA27*'3 Saalis'!CR123</f>
        <v>0</v>
      </c>
      <c r="ED27" s="516">
        <f>BB27*'3 Saalis'!CS123</f>
        <v>0</v>
      </c>
      <c r="EE27" s="516">
        <f>BC27*'3 Saalis'!CT123</f>
        <v>0</v>
      </c>
      <c r="EF27" s="516">
        <f>BD27*'3 Saalis'!CU123</f>
        <v>0</v>
      </c>
      <c r="EG27" s="516">
        <f>BE27*'3 Saalis'!CV123</f>
        <v>0</v>
      </c>
      <c r="EI27" s="57" t="s">
        <v>180</v>
      </c>
      <c r="EJ27" s="68"/>
      <c r="EK27" s="510">
        <f t="shared" si="14"/>
        <v>0</v>
      </c>
      <c r="EL27" s="516">
        <f>AT27*'3 Saalis'!CK145</f>
        <v>0</v>
      </c>
      <c r="EM27" s="516">
        <f>AU27*'3 Saalis'!CL145</f>
        <v>0</v>
      </c>
      <c r="EN27" s="516">
        <f>AV27*'3 Saalis'!CM145</f>
        <v>0</v>
      </c>
      <c r="EO27" s="516">
        <f>AW27*'3 Saalis'!CN145</f>
        <v>0</v>
      </c>
      <c r="EP27" s="516">
        <f>AX27*'3 Saalis'!CO145</f>
        <v>0</v>
      </c>
      <c r="EQ27" s="516">
        <f>AY27*'3 Saalis'!CP145</f>
        <v>0</v>
      </c>
      <c r="ER27" s="516">
        <f>AZ27*'3 Saalis'!CQ145</f>
        <v>0</v>
      </c>
      <c r="ES27" s="516">
        <f>BA27*'3 Saalis'!CR145</f>
        <v>0</v>
      </c>
      <c r="ET27" s="516">
        <f>BB27*'3 Saalis'!CS145</f>
        <v>0</v>
      </c>
      <c r="EU27" s="516">
        <f>BC27*'3 Saalis'!CT145</f>
        <v>0</v>
      </c>
      <c r="EV27" s="516">
        <f>BD27*'3 Saalis'!CU145</f>
        <v>0</v>
      </c>
      <c r="EW27" s="516">
        <f>BE27*'3 Saalis'!CV145</f>
        <v>0</v>
      </c>
    </row>
    <row r="28" spans="2:153" x14ac:dyDescent="0.2">
      <c r="B28" s="5" t="s">
        <v>100</v>
      </c>
      <c r="C28" s="1410"/>
      <c r="D28" s="213"/>
      <c r="E28" s="127"/>
      <c r="F28" s="134"/>
      <c r="G28" s="1537">
        <v>30</v>
      </c>
      <c r="I28" s="15"/>
      <c r="K28" s="57" t="s">
        <v>181</v>
      </c>
      <c r="L28" s="68"/>
      <c r="M28" s="510">
        <f t="shared" si="6"/>
        <v>0</v>
      </c>
      <c r="N28" s="524">
        <f>'4 Myynti'!E87+'4 Myynti'!E97</f>
        <v>0</v>
      </c>
      <c r="O28" s="524">
        <f>'4 Myynti'!F87+'4 Myynti'!F97</f>
        <v>0</v>
      </c>
      <c r="P28" s="524">
        <f>'4 Myynti'!G87+'4 Myynti'!G97</f>
        <v>0</v>
      </c>
      <c r="Q28" s="524">
        <f>'4 Myynti'!H87+'4 Myynti'!H97</f>
        <v>0</v>
      </c>
      <c r="R28" s="524">
        <f>'4 Myynti'!I87+'4 Myynti'!I97</f>
        <v>0</v>
      </c>
      <c r="S28" s="524">
        <f>'4 Myynti'!J87+'4 Myynti'!J97</f>
        <v>0</v>
      </c>
      <c r="T28" s="524">
        <f>'4 Myynti'!K87+'4 Myynti'!K97</f>
        <v>0</v>
      </c>
      <c r="U28" s="524">
        <f>'4 Myynti'!L87+'4 Myynti'!L97</f>
        <v>0</v>
      </c>
      <c r="V28" s="524">
        <f>'4 Myynti'!M87+'4 Myynti'!M97</f>
        <v>0</v>
      </c>
      <c r="W28" s="524">
        <f>'4 Myynti'!N87+'4 Myynti'!N97</f>
        <v>0</v>
      </c>
      <c r="X28" s="524">
        <f>'4 Myynti'!O87+'4 Myynti'!O97</f>
        <v>0</v>
      </c>
      <c r="Y28" s="524">
        <f>'4 Myynti'!P87+'4 Myynti'!P97</f>
        <v>0</v>
      </c>
      <c r="AA28" s="57" t="s">
        <v>181</v>
      </c>
      <c r="AB28" s="68"/>
      <c r="AC28" s="1392">
        <f t="shared" ref="AC28:AC34" si="16">SUM(AD28:AO28)</f>
        <v>0</v>
      </c>
      <c r="AD28" s="516">
        <f>$C$34*N28/100*$D$34</f>
        <v>0</v>
      </c>
      <c r="AE28" s="516">
        <f t="shared" ref="AE28:AO28" si="17">$C$34*O28/100*$D$34</f>
        <v>0</v>
      </c>
      <c r="AF28" s="516">
        <f t="shared" si="17"/>
        <v>0</v>
      </c>
      <c r="AG28" s="516">
        <f t="shared" si="17"/>
        <v>0</v>
      </c>
      <c r="AH28" s="516">
        <f t="shared" si="17"/>
        <v>0</v>
      </c>
      <c r="AI28" s="516">
        <f t="shared" si="17"/>
        <v>0</v>
      </c>
      <c r="AJ28" s="516">
        <f t="shared" si="17"/>
        <v>0</v>
      </c>
      <c r="AK28" s="516">
        <f t="shared" si="17"/>
        <v>0</v>
      </c>
      <c r="AL28" s="516">
        <f t="shared" si="17"/>
        <v>0</v>
      </c>
      <c r="AM28" s="516">
        <f t="shared" si="17"/>
        <v>0</v>
      </c>
      <c r="AN28" s="516">
        <f t="shared" si="17"/>
        <v>0</v>
      </c>
      <c r="AO28" s="516">
        <f t="shared" si="17"/>
        <v>0</v>
      </c>
      <c r="AQ28" s="57" t="s">
        <v>181</v>
      </c>
      <c r="AR28" s="68"/>
      <c r="AS28" s="510">
        <f t="shared" si="8"/>
        <v>0</v>
      </c>
      <c r="AT28" s="516">
        <f>AD28*'11. Työtunnit'!$C$7</f>
        <v>0</v>
      </c>
      <c r="AU28" s="516">
        <f>AE28*'11. Työtunnit'!$C$7</f>
        <v>0</v>
      </c>
      <c r="AV28" s="516">
        <f>AF28*'11. Työtunnit'!$C$7</f>
        <v>0</v>
      </c>
      <c r="AW28" s="516">
        <f>AG28*'11. Työtunnit'!$C$7</f>
        <v>0</v>
      </c>
      <c r="AX28" s="516">
        <f>AH28*'11. Työtunnit'!$C$7</f>
        <v>0</v>
      </c>
      <c r="AY28" s="516">
        <f>AI28*'11. Työtunnit'!$C$7</f>
        <v>0</v>
      </c>
      <c r="AZ28" s="516">
        <f>AJ28*'11. Työtunnit'!$C$7</f>
        <v>0</v>
      </c>
      <c r="BA28" s="516">
        <f>AK28*'11. Työtunnit'!$C$7</f>
        <v>0</v>
      </c>
      <c r="BB28" s="516">
        <f>AL28*'11. Työtunnit'!$C$7</f>
        <v>0</v>
      </c>
      <c r="BC28" s="516">
        <f>AM28*'11. Työtunnit'!$C$7</f>
        <v>0</v>
      </c>
      <c r="BD28" s="516">
        <f>AN28*'11. Työtunnit'!$C$7</f>
        <v>0</v>
      </c>
      <c r="BE28" s="516">
        <f>AO28*'11. Työtunnit'!$C$7</f>
        <v>0</v>
      </c>
      <c r="BG28" s="57" t="s">
        <v>181</v>
      </c>
      <c r="BH28" s="68"/>
      <c r="BI28" s="510">
        <f t="shared" si="9"/>
        <v>0</v>
      </c>
      <c r="BJ28" s="516">
        <f>AT28*'3 Saalis'!CK35</f>
        <v>0</v>
      </c>
      <c r="BK28" s="516">
        <f>AU28*'3 Saalis'!CL35</f>
        <v>0</v>
      </c>
      <c r="BL28" s="516">
        <f>AV28*'3 Saalis'!CM35</f>
        <v>0</v>
      </c>
      <c r="BM28" s="516">
        <f>AW28*'3 Saalis'!CN35</f>
        <v>0</v>
      </c>
      <c r="BN28" s="516">
        <f>AX28*'3 Saalis'!CO35</f>
        <v>0</v>
      </c>
      <c r="BO28" s="516">
        <f>AY28*'3 Saalis'!CP35</f>
        <v>0</v>
      </c>
      <c r="BP28" s="516">
        <f>AZ28*'3 Saalis'!CQ35</f>
        <v>0</v>
      </c>
      <c r="BQ28" s="516">
        <f>BA28*'3 Saalis'!CR35</f>
        <v>0</v>
      </c>
      <c r="BR28" s="516">
        <f>BB28*'3 Saalis'!CS35</f>
        <v>0</v>
      </c>
      <c r="BS28" s="516">
        <f>BC28*'3 Saalis'!CT35</f>
        <v>0</v>
      </c>
      <c r="BT28" s="516">
        <f>BD28*'3 Saalis'!CU35</f>
        <v>0</v>
      </c>
      <c r="BU28" s="516">
        <f>BE28*'3 Saalis'!CV35</f>
        <v>0</v>
      </c>
      <c r="BW28" s="57" t="s">
        <v>181</v>
      </c>
      <c r="BX28" s="68"/>
      <c r="BY28" s="510">
        <f t="shared" si="10"/>
        <v>0</v>
      </c>
      <c r="BZ28" s="516">
        <f>AT28*'3 Saalis'!CK57</f>
        <v>0</v>
      </c>
      <c r="CA28" s="516">
        <f>AU28*'3 Saalis'!CL57</f>
        <v>0</v>
      </c>
      <c r="CB28" s="516">
        <f>AV28*'3 Saalis'!CM57</f>
        <v>0</v>
      </c>
      <c r="CC28" s="516">
        <f>AW28*'3 Saalis'!CN57</f>
        <v>0</v>
      </c>
      <c r="CD28" s="516">
        <f>AX28*'3 Saalis'!CO57</f>
        <v>0</v>
      </c>
      <c r="CE28" s="516">
        <f>AY28*'3 Saalis'!CP57</f>
        <v>0</v>
      </c>
      <c r="CF28" s="516">
        <f>AZ28*'3 Saalis'!CQ57</f>
        <v>0</v>
      </c>
      <c r="CG28" s="516">
        <f>BA28*'3 Saalis'!CR57</f>
        <v>0</v>
      </c>
      <c r="CH28" s="516">
        <f>BB28*'3 Saalis'!CS57</f>
        <v>0</v>
      </c>
      <c r="CI28" s="516">
        <f>BC28*'3 Saalis'!CT57</f>
        <v>0</v>
      </c>
      <c r="CJ28" s="516">
        <f>BD28*'3 Saalis'!CU57</f>
        <v>0</v>
      </c>
      <c r="CK28" s="516">
        <f>BE28*'3 Saalis'!CV57</f>
        <v>0</v>
      </c>
      <c r="CM28" s="57" t="s">
        <v>181</v>
      </c>
      <c r="CN28" s="68"/>
      <c r="CO28" s="510">
        <f t="shared" si="11"/>
        <v>0</v>
      </c>
      <c r="CP28" s="516">
        <f>AT28*'3 Saalis'!CK79</f>
        <v>0</v>
      </c>
      <c r="CQ28" s="516">
        <f>AU28*'3 Saalis'!CL79</f>
        <v>0</v>
      </c>
      <c r="CR28" s="516">
        <f>AV28*'3 Saalis'!CM79</f>
        <v>0</v>
      </c>
      <c r="CS28" s="516">
        <f>AW28*'3 Saalis'!CN79</f>
        <v>0</v>
      </c>
      <c r="CT28" s="516">
        <f>AX28*'3 Saalis'!CO79</f>
        <v>0</v>
      </c>
      <c r="CU28" s="516">
        <f>AY28*'3 Saalis'!CP79</f>
        <v>0</v>
      </c>
      <c r="CV28" s="516">
        <f>AZ28*'3 Saalis'!CQ79</f>
        <v>0</v>
      </c>
      <c r="CW28" s="516">
        <f>BA28*'3 Saalis'!CR79</f>
        <v>0</v>
      </c>
      <c r="CX28" s="516">
        <f>BB28*'3 Saalis'!CS79</f>
        <v>0</v>
      </c>
      <c r="CY28" s="516">
        <f>BC28*'3 Saalis'!CT79</f>
        <v>0</v>
      </c>
      <c r="CZ28" s="516">
        <f>BD28*'3 Saalis'!CU79</f>
        <v>0</v>
      </c>
      <c r="DA28" s="516">
        <f>BE28*'3 Saalis'!CV79</f>
        <v>0</v>
      </c>
      <c r="DC28" s="57" t="s">
        <v>181</v>
      </c>
      <c r="DD28" s="68"/>
      <c r="DE28" s="510">
        <f t="shared" si="12"/>
        <v>0</v>
      </c>
      <c r="DF28" s="516">
        <f>AT28*'3 Saalis'!CK101</f>
        <v>0</v>
      </c>
      <c r="DG28" s="516">
        <f>AU28*'3 Saalis'!CL101</f>
        <v>0</v>
      </c>
      <c r="DH28" s="516">
        <f>AV28*'3 Saalis'!CM101</f>
        <v>0</v>
      </c>
      <c r="DI28" s="516">
        <f>AW28*'3 Saalis'!CN101</f>
        <v>0</v>
      </c>
      <c r="DJ28" s="516">
        <f>AX28*'3 Saalis'!CO101</f>
        <v>0</v>
      </c>
      <c r="DK28" s="516">
        <f>AY28*'3 Saalis'!CP101</f>
        <v>0</v>
      </c>
      <c r="DL28" s="516">
        <f>AZ28*'3 Saalis'!CQ101</f>
        <v>0</v>
      </c>
      <c r="DM28" s="516">
        <f>BA28*'3 Saalis'!CR101</f>
        <v>0</v>
      </c>
      <c r="DN28" s="516">
        <f>BB28*'3 Saalis'!CS101</f>
        <v>0</v>
      </c>
      <c r="DO28" s="516">
        <f>BC28*'3 Saalis'!CT101</f>
        <v>0</v>
      </c>
      <c r="DP28" s="516">
        <f>BD28*'3 Saalis'!CU101</f>
        <v>0</v>
      </c>
      <c r="DQ28" s="516">
        <f>BE28*'3 Saalis'!CV101</f>
        <v>0</v>
      </c>
      <c r="DS28" s="57" t="s">
        <v>181</v>
      </c>
      <c r="DT28" s="68"/>
      <c r="DU28" s="510">
        <f t="shared" si="13"/>
        <v>0</v>
      </c>
      <c r="DV28" s="516">
        <f>AT28*'3 Saalis'!CK123</f>
        <v>0</v>
      </c>
      <c r="DW28" s="516">
        <f>AU28*'3 Saalis'!CL123</f>
        <v>0</v>
      </c>
      <c r="DX28" s="516">
        <f>AV28*'3 Saalis'!CM123</f>
        <v>0</v>
      </c>
      <c r="DY28" s="516">
        <f>AW28*'3 Saalis'!CN123</f>
        <v>0</v>
      </c>
      <c r="DZ28" s="516">
        <f>AX28*'3 Saalis'!CO123</f>
        <v>0</v>
      </c>
      <c r="EA28" s="516">
        <f>AY28*'3 Saalis'!CP123</f>
        <v>0</v>
      </c>
      <c r="EB28" s="516">
        <f>AZ28*'3 Saalis'!CQ123</f>
        <v>0</v>
      </c>
      <c r="EC28" s="516">
        <f>BA28*'3 Saalis'!CR123</f>
        <v>0</v>
      </c>
      <c r="ED28" s="516">
        <f>BB28*'3 Saalis'!CS123</f>
        <v>0</v>
      </c>
      <c r="EE28" s="516">
        <f>BC28*'3 Saalis'!CT123</f>
        <v>0</v>
      </c>
      <c r="EF28" s="516">
        <f>BD28*'3 Saalis'!CU123</f>
        <v>0</v>
      </c>
      <c r="EG28" s="516">
        <f>BE28*'3 Saalis'!CV123</f>
        <v>0</v>
      </c>
      <c r="EI28" s="57" t="s">
        <v>181</v>
      </c>
      <c r="EJ28" s="68"/>
      <c r="EK28" s="510">
        <f t="shared" si="14"/>
        <v>0</v>
      </c>
      <c r="EL28" s="516">
        <f>AT28*'3 Saalis'!CK145</f>
        <v>0</v>
      </c>
      <c r="EM28" s="516">
        <f>AU28*'3 Saalis'!CL145</f>
        <v>0</v>
      </c>
      <c r="EN28" s="516">
        <f>AV28*'3 Saalis'!CM145</f>
        <v>0</v>
      </c>
      <c r="EO28" s="516">
        <f>AW28*'3 Saalis'!CN145</f>
        <v>0</v>
      </c>
      <c r="EP28" s="516">
        <f>AX28*'3 Saalis'!CO145</f>
        <v>0</v>
      </c>
      <c r="EQ28" s="516">
        <f>AY28*'3 Saalis'!CP145</f>
        <v>0</v>
      </c>
      <c r="ER28" s="516">
        <f>AZ28*'3 Saalis'!CQ145</f>
        <v>0</v>
      </c>
      <c r="ES28" s="516">
        <f>BA28*'3 Saalis'!CR145</f>
        <v>0</v>
      </c>
      <c r="ET28" s="516">
        <f>BB28*'3 Saalis'!CS145</f>
        <v>0</v>
      </c>
      <c r="EU28" s="516">
        <f>BC28*'3 Saalis'!CT145</f>
        <v>0</v>
      </c>
      <c r="EV28" s="516">
        <f>BD28*'3 Saalis'!CU145</f>
        <v>0</v>
      </c>
      <c r="EW28" s="516">
        <f>BE28*'3 Saalis'!CV145</f>
        <v>0</v>
      </c>
    </row>
    <row r="29" spans="2:153" x14ac:dyDescent="0.2">
      <c r="B29" s="57" t="s">
        <v>108</v>
      </c>
      <c r="C29" s="1411"/>
      <c r="D29" s="370"/>
      <c r="E29" s="128"/>
      <c r="F29" s="130"/>
      <c r="G29" s="1535">
        <v>30</v>
      </c>
      <c r="I29" s="15"/>
      <c r="K29" s="57" t="s">
        <v>182</v>
      </c>
      <c r="L29" s="68"/>
      <c r="M29" s="510">
        <f t="shared" si="6"/>
        <v>0</v>
      </c>
      <c r="N29" s="524">
        <f>'4 Myynti'!E88+'4 Myynti'!E98</f>
        <v>0</v>
      </c>
      <c r="O29" s="524">
        <f>'4 Myynti'!F88+'4 Myynti'!F98</f>
        <v>0</v>
      </c>
      <c r="P29" s="524">
        <f>'4 Myynti'!G88+'4 Myynti'!G98</f>
        <v>0</v>
      </c>
      <c r="Q29" s="524">
        <f>'4 Myynti'!H88+'4 Myynti'!H98</f>
        <v>0</v>
      </c>
      <c r="R29" s="524">
        <f>'4 Myynti'!I88+'4 Myynti'!I98</f>
        <v>0</v>
      </c>
      <c r="S29" s="524">
        <f>'4 Myynti'!J88+'4 Myynti'!J98</f>
        <v>0</v>
      </c>
      <c r="T29" s="524">
        <f>'4 Myynti'!K88+'4 Myynti'!K98</f>
        <v>0</v>
      </c>
      <c r="U29" s="524">
        <f>'4 Myynti'!L88+'4 Myynti'!L98</f>
        <v>0</v>
      </c>
      <c r="V29" s="524">
        <f>'4 Myynti'!M88+'4 Myynti'!M98</f>
        <v>0</v>
      </c>
      <c r="W29" s="524">
        <f>'4 Myynti'!N88+'4 Myynti'!N98</f>
        <v>0</v>
      </c>
      <c r="X29" s="524">
        <f>'4 Myynti'!O88+'4 Myynti'!O98</f>
        <v>0</v>
      </c>
      <c r="Y29" s="524">
        <f>'4 Myynti'!P88+'4 Myynti'!P98</f>
        <v>0</v>
      </c>
      <c r="AA29" s="57" t="s">
        <v>182</v>
      </c>
      <c r="AB29" s="68"/>
      <c r="AC29" s="1392">
        <f t="shared" si="16"/>
        <v>0</v>
      </c>
      <c r="AD29" s="516">
        <f>$C$35*N29/100*$D$35</f>
        <v>0</v>
      </c>
      <c r="AE29" s="516">
        <f t="shared" ref="AE29:AO29" si="18">$C$35*O29/100*$D$35</f>
        <v>0</v>
      </c>
      <c r="AF29" s="516">
        <f t="shared" si="18"/>
        <v>0</v>
      </c>
      <c r="AG29" s="516">
        <f t="shared" si="18"/>
        <v>0</v>
      </c>
      <c r="AH29" s="516">
        <f t="shared" si="18"/>
        <v>0</v>
      </c>
      <c r="AI29" s="516">
        <f t="shared" si="18"/>
        <v>0</v>
      </c>
      <c r="AJ29" s="516">
        <f t="shared" si="18"/>
        <v>0</v>
      </c>
      <c r="AK29" s="516">
        <f t="shared" si="18"/>
        <v>0</v>
      </c>
      <c r="AL29" s="516">
        <f t="shared" si="18"/>
        <v>0</v>
      </c>
      <c r="AM29" s="516">
        <f t="shared" si="18"/>
        <v>0</v>
      </c>
      <c r="AN29" s="516">
        <f t="shared" si="18"/>
        <v>0</v>
      </c>
      <c r="AO29" s="516">
        <f t="shared" si="18"/>
        <v>0</v>
      </c>
      <c r="AQ29" s="57" t="s">
        <v>182</v>
      </c>
      <c r="AR29" s="68"/>
      <c r="AS29" s="510">
        <f t="shared" si="8"/>
        <v>0</v>
      </c>
      <c r="AT29" s="516">
        <f>AD29*'11. Työtunnit'!$C$7</f>
        <v>0</v>
      </c>
      <c r="AU29" s="516">
        <f>AE29*'11. Työtunnit'!$C$7</f>
        <v>0</v>
      </c>
      <c r="AV29" s="516">
        <f>AF29*'11. Työtunnit'!$C$7</f>
        <v>0</v>
      </c>
      <c r="AW29" s="516">
        <f>AG29*'11. Työtunnit'!$C$7</f>
        <v>0</v>
      </c>
      <c r="AX29" s="516">
        <f>AH29*'11. Työtunnit'!$C$7</f>
        <v>0</v>
      </c>
      <c r="AY29" s="516">
        <f>AI29*'11. Työtunnit'!$C$7</f>
        <v>0</v>
      </c>
      <c r="AZ29" s="516">
        <f>AJ29*'11. Työtunnit'!$C$7</f>
        <v>0</v>
      </c>
      <c r="BA29" s="516">
        <f>AK29*'11. Työtunnit'!$C$7</f>
        <v>0</v>
      </c>
      <c r="BB29" s="516">
        <f>AL29*'11. Työtunnit'!$C$7</f>
        <v>0</v>
      </c>
      <c r="BC29" s="516">
        <f>AM29*'11. Työtunnit'!$C$7</f>
        <v>0</v>
      </c>
      <c r="BD29" s="516">
        <f>AN29*'11. Työtunnit'!$C$7</f>
        <v>0</v>
      </c>
      <c r="BE29" s="516">
        <f>AO29*'11. Työtunnit'!$C$7</f>
        <v>0</v>
      </c>
      <c r="BG29" s="57" t="s">
        <v>182</v>
      </c>
      <c r="BH29" s="68"/>
      <c r="BI29" s="510">
        <f t="shared" si="9"/>
        <v>0</v>
      </c>
      <c r="BJ29" s="516">
        <f>AT29*'3 Saalis'!CK35</f>
        <v>0</v>
      </c>
      <c r="BK29" s="516">
        <f>AU29*'3 Saalis'!CL35</f>
        <v>0</v>
      </c>
      <c r="BL29" s="516">
        <f>AV29*'3 Saalis'!CM35</f>
        <v>0</v>
      </c>
      <c r="BM29" s="516">
        <f>AW29*'3 Saalis'!CN35</f>
        <v>0</v>
      </c>
      <c r="BN29" s="516">
        <f>AX29*'3 Saalis'!CO35</f>
        <v>0</v>
      </c>
      <c r="BO29" s="516">
        <f>AY29*'3 Saalis'!CP35</f>
        <v>0</v>
      </c>
      <c r="BP29" s="516">
        <f>AZ29*'3 Saalis'!CQ35</f>
        <v>0</v>
      </c>
      <c r="BQ29" s="516">
        <f>BA29*'3 Saalis'!CR35</f>
        <v>0</v>
      </c>
      <c r="BR29" s="516">
        <f>BB29*'3 Saalis'!CS35</f>
        <v>0</v>
      </c>
      <c r="BS29" s="516">
        <f>BC29*'3 Saalis'!CT35</f>
        <v>0</v>
      </c>
      <c r="BT29" s="516">
        <f>BD29*'3 Saalis'!CU35</f>
        <v>0</v>
      </c>
      <c r="BU29" s="516">
        <f>BE29*'3 Saalis'!CV35</f>
        <v>0</v>
      </c>
      <c r="BW29" s="57" t="s">
        <v>182</v>
      </c>
      <c r="BX29" s="68"/>
      <c r="BY29" s="510">
        <f t="shared" si="10"/>
        <v>0</v>
      </c>
      <c r="BZ29" s="516">
        <f>AT29*'3 Saalis'!CK57</f>
        <v>0</v>
      </c>
      <c r="CA29" s="516">
        <f>AU29*'3 Saalis'!CL57</f>
        <v>0</v>
      </c>
      <c r="CB29" s="516">
        <f>AV29*'3 Saalis'!CM57</f>
        <v>0</v>
      </c>
      <c r="CC29" s="516">
        <f>AW29*'3 Saalis'!CN57</f>
        <v>0</v>
      </c>
      <c r="CD29" s="516">
        <f>AX29*'3 Saalis'!CO57</f>
        <v>0</v>
      </c>
      <c r="CE29" s="516">
        <f>AY29*'3 Saalis'!CP57</f>
        <v>0</v>
      </c>
      <c r="CF29" s="516">
        <f>AZ29*'3 Saalis'!CQ57</f>
        <v>0</v>
      </c>
      <c r="CG29" s="516">
        <f>BA29*'3 Saalis'!CR57</f>
        <v>0</v>
      </c>
      <c r="CH29" s="516">
        <f>BB29*'3 Saalis'!CS57</f>
        <v>0</v>
      </c>
      <c r="CI29" s="516">
        <f>BC29*'3 Saalis'!CT57</f>
        <v>0</v>
      </c>
      <c r="CJ29" s="516">
        <f>BD29*'3 Saalis'!CU57</f>
        <v>0</v>
      </c>
      <c r="CK29" s="516">
        <f>BE29*'3 Saalis'!CV57</f>
        <v>0</v>
      </c>
      <c r="CM29" s="57" t="s">
        <v>182</v>
      </c>
      <c r="CN29" s="68"/>
      <c r="CO29" s="510">
        <f t="shared" si="11"/>
        <v>0</v>
      </c>
      <c r="CP29" s="516">
        <f>AT29*'3 Saalis'!CK79</f>
        <v>0</v>
      </c>
      <c r="CQ29" s="516">
        <f>AU29*'3 Saalis'!CL79</f>
        <v>0</v>
      </c>
      <c r="CR29" s="516">
        <f>AV29*'3 Saalis'!CM79</f>
        <v>0</v>
      </c>
      <c r="CS29" s="516">
        <f>AW29*'3 Saalis'!CN79</f>
        <v>0</v>
      </c>
      <c r="CT29" s="516">
        <f>AX29*'3 Saalis'!CO79</f>
        <v>0</v>
      </c>
      <c r="CU29" s="516">
        <f>AY29*'3 Saalis'!CP79</f>
        <v>0</v>
      </c>
      <c r="CV29" s="516">
        <f>AZ29*'3 Saalis'!CQ79</f>
        <v>0</v>
      </c>
      <c r="CW29" s="516">
        <f>BA29*'3 Saalis'!CR79</f>
        <v>0</v>
      </c>
      <c r="CX29" s="516">
        <f>BB29*'3 Saalis'!CS79</f>
        <v>0</v>
      </c>
      <c r="CY29" s="516">
        <f>BC29*'3 Saalis'!CT79</f>
        <v>0</v>
      </c>
      <c r="CZ29" s="516">
        <f>BD29*'3 Saalis'!CU79</f>
        <v>0</v>
      </c>
      <c r="DA29" s="516">
        <f>BE29*'3 Saalis'!CV79</f>
        <v>0</v>
      </c>
      <c r="DC29" s="57" t="s">
        <v>182</v>
      </c>
      <c r="DD29" s="68"/>
      <c r="DE29" s="510">
        <f t="shared" si="12"/>
        <v>0</v>
      </c>
      <c r="DF29" s="516">
        <f>AT29*'3 Saalis'!CK101</f>
        <v>0</v>
      </c>
      <c r="DG29" s="516">
        <f>AU29*'3 Saalis'!CL101</f>
        <v>0</v>
      </c>
      <c r="DH29" s="516">
        <f>AV29*'3 Saalis'!CM101</f>
        <v>0</v>
      </c>
      <c r="DI29" s="516">
        <f>AW29*'3 Saalis'!CN101</f>
        <v>0</v>
      </c>
      <c r="DJ29" s="516">
        <f>AX29*'3 Saalis'!CO101</f>
        <v>0</v>
      </c>
      <c r="DK29" s="516">
        <f>AY29*'3 Saalis'!CP101</f>
        <v>0</v>
      </c>
      <c r="DL29" s="516">
        <f>AZ29*'3 Saalis'!CQ101</f>
        <v>0</v>
      </c>
      <c r="DM29" s="516">
        <f>BA29*'3 Saalis'!CR101</f>
        <v>0</v>
      </c>
      <c r="DN29" s="516">
        <f>BB29*'3 Saalis'!CS101</f>
        <v>0</v>
      </c>
      <c r="DO29" s="516">
        <f>BC29*'3 Saalis'!CT101</f>
        <v>0</v>
      </c>
      <c r="DP29" s="516">
        <f>BD29*'3 Saalis'!CU101</f>
        <v>0</v>
      </c>
      <c r="DQ29" s="516">
        <f>BE29*'3 Saalis'!CV101</f>
        <v>0</v>
      </c>
      <c r="DS29" s="57" t="s">
        <v>182</v>
      </c>
      <c r="DT29" s="68"/>
      <c r="DU29" s="510">
        <f t="shared" si="13"/>
        <v>0</v>
      </c>
      <c r="DV29" s="516">
        <f>AT29*'3 Saalis'!CK123</f>
        <v>0</v>
      </c>
      <c r="DW29" s="516">
        <f>AU29*'3 Saalis'!CL123</f>
        <v>0</v>
      </c>
      <c r="DX29" s="516">
        <f>AV29*'3 Saalis'!CM123</f>
        <v>0</v>
      </c>
      <c r="DY29" s="516">
        <f>AW29*'3 Saalis'!CN123</f>
        <v>0</v>
      </c>
      <c r="DZ29" s="516">
        <f>AX29*'3 Saalis'!CO123</f>
        <v>0</v>
      </c>
      <c r="EA29" s="516">
        <f>AY29*'3 Saalis'!CP123</f>
        <v>0</v>
      </c>
      <c r="EB29" s="516">
        <f>AZ29*'3 Saalis'!CQ123</f>
        <v>0</v>
      </c>
      <c r="EC29" s="516">
        <f>BA29*'3 Saalis'!CR123</f>
        <v>0</v>
      </c>
      <c r="ED29" s="516">
        <f>BB29*'3 Saalis'!CS123</f>
        <v>0</v>
      </c>
      <c r="EE29" s="516">
        <f>BC29*'3 Saalis'!CT123</f>
        <v>0</v>
      </c>
      <c r="EF29" s="516">
        <f>BD29*'3 Saalis'!CU123</f>
        <v>0</v>
      </c>
      <c r="EG29" s="516">
        <f>BE29*'3 Saalis'!CV123</f>
        <v>0</v>
      </c>
      <c r="EI29" s="57" t="s">
        <v>182</v>
      </c>
      <c r="EJ29" s="68"/>
      <c r="EK29" s="510">
        <f t="shared" si="14"/>
        <v>0</v>
      </c>
      <c r="EL29" s="516">
        <f>AT29*'3 Saalis'!CK145</f>
        <v>0</v>
      </c>
      <c r="EM29" s="516">
        <f>AU29*'3 Saalis'!CL145</f>
        <v>0</v>
      </c>
      <c r="EN29" s="516">
        <f>AV29*'3 Saalis'!CM145</f>
        <v>0</v>
      </c>
      <c r="EO29" s="516">
        <f>AW29*'3 Saalis'!CN145</f>
        <v>0</v>
      </c>
      <c r="EP29" s="516">
        <f>AX29*'3 Saalis'!CO145</f>
        <v>0</v>
      </c>
      <c r="EQ29" s="516">
        <f>AY29*'3 Saalis'!CP145</f>
        <v>0</v>
      </c>
      <c r="ER29" s="516">
        <f>AZ29*'3 Saalis'!CQ145</f>
        <v>0</v>
      </c>
      <c r="ES29" s="516">
        <f>BA29*'3 Saalis'!CR145</f>
        <v>0</v>
      </c>
      <c r="ET29" s="516">
        <f>BB29*'3 Saalis'!CS145</f>
        <v>0</v>
      </c>
      <c r="EU29" s="516">
        <f>BC29*'3 Saalis'!CT145</f>
        <v>0</v>
      </c>
      <c r="EV29" s="516">
        <f>BD29*'3 Saalis'!CU145</f>
        <v>0</v>
      </c>
      <c r="EW29" s="516">
        <f>BE29*'3 Saalis'!CV145</f>
        <v>0</v>
      </c>
    </row>
    <row r="30" spans="2:153" x14ac:dyDescent="0.2">
      <c r="B30" s="57" t="s">
        <v>101</v>
      </c>
      <c r="C30" s="1530">
        <v>1</v>
      </c>
      <c r="D30" s="1532">
        <v>1</v>
      </c>
      <c r="E30" s="128"/>
      <c r="F30" s="1534">
        <v>5</v>
      </c>
      <c r="G30" s="128"/>
      <c r="I30" s="15"/>
      <c r="K30" s="57" t="s">
        <v>534</v>
      </c>
      <c r="L30" s="68"/>
      <c r="M30" s="510">
        <f t="shared" si="6"/>
        <v>0</v>
      </c>
      <c r="N30" s="530">
        <f>'4 Myynti'!E89+'4 Myynti'!E99</f>
        <v>0</v>
      </c>
      <c r="O30" s="524">
        <f>'4 Myynti'!F89+'4 Myynti'!F99</f>
        <v>0</v>
      </c>
      <c r="P30" s="524">
        <f>'4 Myynti'!G89+'4 Myynti'!G99</f>
        <v>0</v>
      </c>
      <c r="Q30" s="524">
        <f>'4 Myynti'!H89+'4 Myynti'!H99</f>
        <v>0</v>
      </c>
      <c r="R30" s="524">
        <f>'4 Myynti'!I89+'4 Myynti'!I99</f>
        <v>0</v>
      </c>
      <c r="S30" s="524">
        <f>'4 Myynti'!J89+'4 Myynti'!J99</f>
        <v>0</v>
      </c>
      <c r="T30" s="524">
        <f>'4 Myynti'!K89+'4 Myynti'!K99</f>
        <v>0</v>
      </c>
      <c r="U30" s="524">
        <f>'4 Myynti'!L89+'4 Myynti'!L99</f>
        <v>0</v>
      </c>
      <c r="V30" s="524">
        <f>'4 Myynti'!M89+'4 Myynti'!M99</f>
        <v>0</v>
      </c>
      <c r="W30" s="524">
        <f>'4 Myynti'!N89+'4 Myynti'!N99</f>
        <v>0</v>
      </c>
      <c r="X30" s="524">
        <f>'4 Myynti'!O89+'4 Myynti'!O99</f>
        <v>0</v>
      </c>
      <c r="Y30" s="525">
        <f>'4 Myynti'!P89+'4 Myynti'!P99</f>
        <v>0</v>
      </c>
      <c r="AA30" s="57" t="s">
        <v>534</v>
      </c>
      <c r="AB30" s="68"/>
      <c r="AC30" s="1392">
        <f t="shared" si="16"/>
        <v>0</v>
      </c>
      <c r="AD30" s="514">
        <f t="shared" ref="AD30:AO30" si="19">N30/100*$F$32</f>
        <v>0</v>
      </c>
      <c r="AE30" s="514">
        <f t="shared" si="19"/>
        <v>0</v>
      </c>
      <c r="AF30" s="514">
        <f t="shared" si="19"/>
        <v>0</v>
      </c>
      <c r="AG30" s="514">
        <f t="shared" si="19"/>
        <v>0</v>
      </c>
      <c r="AH30" s="514">
        <f t="shared" si="19"/>
        <v>0</v>
      </c>
      <c r="AI30" s="514">
        <f t="shared" si="19"/>
        <v>0</v>
      </c>
      <c r="AJ30" s="514">
        <f t="shared" si="19"/>
        <v>0</v>
      </c>
      <c r="AK30" s="514">
        <f t="shared" si="19"/>
        <v>0</v>
      </c>
      <c r="AL30" s="514">
        <f t="shared" si="19"/>
        <v>0</v>
      </c>
      <c r="AM30" s="514">
        <f t="shared" si="19"/>
        <v>0</v>
      </c>
      <c r="AN30" s="514">
        <f t="shared" si="19"/>
        <v>0</v>
      </c>
      <c r="AO30" s="525">
        <f t="shared" si="19"/>
        <v>0</v>
      </c>
      <c r="AQ30" s="57" t="s">
        <v>534</v>
      </c>
      <c r="AR30" s="68"/>
      <c r="AS30" s="510">
        <f t="shared" si="8"/>
        <v>0</v>
      </c>
      <c r="AT30" s="514">
        <f>AD30*'11. Työtunnit'!$C$7</f>
        <v>0</v>
      </c>
      <c r="AU30" s="514">
        <f>AE30*'11. Työtunnit'!$C$7</f>
        <v>0</v>
      </c>
      <c r="AV30" s="514">
        <f>AF30*'11. Työtunnit'!$C$7</f>
        <v>0</v>
      </c>
      <c r="AW30" s="514">
        <f>AG30*'11. Työtunnit'!$C$7</f>
        <v>0</v>
      </c>
      <c r="AX30" s="514">
        <f>AH30*'11. Työtunnit'!$C$7</f>
        <v>0</v>
      </c>
      <c r="AY30" s="514">
        <f>AI30*'11. Työtunnit'!$C$7</f>
        <v>0</v>
      </c>
      <c r="AZ30" s="514">
        <f>AJ30*'11. Työtunnit'!$C$7</f>
        <v>0</v>
      </c>
      <c r="BA30" s="514">
        <f>AK30*'11. Työtunnit'!$C$7</f>
        <v>0</v>
      </c>
      <c r="BB30" s="514">
        <f>AL30*'11. Työtunnit'!$C$7</f>
        <v>0</v>
      </c>
      <c r="BC30" s="514">
        <f>AM30*'11. Työtunnit'!$C$7</f>
        <v>0</v>
      </c>
      <c r="BD30" s="514">
        <f>AN30*'11. Työtunnit'!$C$7</f>
        <v>0</v>
      </c>
      <c r="BE30" s="525">
        <f>AO30*'11. Työtunnit'!$C$7</f>
        <v>0</v>
      </c>
      <c r="BG30" s="57" t="s">
        <v>534</v>
      </c>
      <c r="BH30" s="68"/>
      <c r="BI30" s="510">
        <f t="shared" si="9"/>
        <v>0</v>
      </c>
      <c r="BJ30" s="514">
        <f>AT30*'3 Saalis'!CK35</f>
        <v>0</v>
      </c>
      <c r="BK30" s="514">
        <f>AU30*'3 Saalis'!CL35</f>
        <v>0</v>
      </c>
      <c r="BL30" s="514">
        <f>AV30*'3 Saalis'!CM35</f>
        <v>0</v>
      </c>
      <c r="BM30" s="514">
        <f>AW30*'3 Saalis'!CN35</f>
        <v>0</v>
      </c>
      <c r="BN30" s="514">
        <f>AX30*'3 Saalis'!CO35</f>
        <v>0</v>
      </c>
      <c r="BO30" s="514">
        <f>AY30*'3 Saalis'!CP35</f>
        <v>0</v>
      </c>
      <c r="BP30" s="514">
        <f>AZ30*'3 Saalis'!CQ35</f>
        <v>0</v>
      </c>
      <c r="BQ30" s="514">
        <f>BA30*'3 Saalis'!CR35</f>
        <v>0</v>
      </c>
      <c r="BR30" s="514">
        <f>BB30*'3 Saalis'!CS35</f>
        <v>0</v>
      </c>
      <c r="BS30" s="514">
        <f>BC30*'3 Saalis'!CT35</f>
        <v>0</v>
      </c>
      <c r="BT30" s="514">
        <f>BD30*'3 Saalis'!CU35</f>
        <v>0</v>
      </c>
      <c r="BU30" s="525">
        <f>BE30*'3 Saalis'!CV35</f>
        <v>0</v>
      </c>
      <c r="BW30" s="57" t="s">
        <v>534</v>
      </c>
      <c r="BX30" s="68"/>
      <c r="BY30" s="510">
        <f t="shared" si="10"/>
        <v>0</v>
      </c>
      <c r="BZ30" s="514">
        <f>AT30*'3 Saalis'!CK57</f>
        <v>0</v>
      </c>
      <c r="CA30" s="514">
        <f>AU30*'3 Saalis'!CL57</f>
        <v>0</v>
      </c>
      <c r="CB30" s="514">
        <f>AV30*'3 Saalis'!CM57</f>
        <v>0</v>
      </c>
      <c r="CC30" s="514">
        <f>AW30*'3 Saalis'!CN57</f>
        <v>0</v>
      </c>
      <c r="CD30" s="514">
        <f>AX30*'3 Saalis'!CO57</f>
        <v>0</v>
      </c>
      <c r="CE30" s="514">
        <f>AY30*'3 Saalis'!CP57</f>
        <v>0</v>
      </c>
      <c r="CF30" s="514">
        <f>AZ30*'3 Saalis'!CQ57</f>
        <v>0</v>
      </c>
      <c r="CG30" s="514">
        <f>BA30*'3 Saalis'!CR57</f>
        <v>0</v>
      </c>
      <c r="CH30" s="514">
        <f>BB30*'3 Saalis'!CS57</f>
        <v>0</v>
      </c>
      <c r="CI30" s="514">
        <f>BC30*'3 Saalis'!CT57</f>
        <v>0</v>
      </c>
      <c r="CJ30" s="514">
        <f>BD30*'3 Saalis'!CU57</f>
        <v>0</v>
      </c>
      <c r="CK30" s="525">
        <f>BE30*'3 Saalis'!CV57</f>
        <v>0</v>
      </c>
      <c r="CM30" s="57" t="s">
        <v>534</v>
      </c>
      <c r="CN30" s="68"/>
      <c r="CO30" s="510">
        <f t="shared" si="11"/>
        <v>0</v>
      </c>
      <c r="CP30" s="514">
        <f>AT30*'3 Saalis'!CK79</f>
        <v>0</v>
      </c>
      <c r="CQ30" s="514">
        <f>AU30*'3 Saalis'!CL79</f>
        <v>0</v>
      </c>
      <c r="CR30" s="514">
        <f>AV30*'3 Saalis'!CM79</f>
        <v>0</v>
      </c>
      <c r="CS30" s="514">
        <f>AW30*'3 Saalis'!CN79</f>
        <v>0</v>
      </c>
      <c r="CT30" s="514">
        <f>AX30*'3 Saalis'!CO79</f>
        <v>0</v>
      </c>
      <c r="CU30" s="514">
        <f>AY30*'3 Saalis'!CP79</f>
        <v>0</v>
      </c>
      <c r="CV30" s="514">
        <f>AZ30*'3 Saalis'!CQ79</f>
        <v>0</v>
      </c>
      <c r="CW30" s="514">
        <f>BA30*'3 Saalis'!CR79</f>
        <v>0</v>
      </c>
      <c r="CX30" s="514">
        <f>BB30*'3 Saalis'!CS79</f>
        <v>0</v>
      </c>
      <c r="CY30" s="514">
        <f>BC30*'3 Saalis'!CT79</f>
        <v>0</v>
      </c>
      <c r="CZ30" s="514">
        <f>BD30*'3 Saalis'!CU79</f>
        <v>0</v>
      </c>
      <c r="DA30" s="525">
        <f>BE30*'3 Saalis'!CV79</f>
        <v>0</v>
      </c>
      <c r="DC30" s="57" t="s">
        <v>534</v>
      </c>
      <c r="DD30" s="68"/>
      <c r="DE30" s="510">
        <f t="shared" si="12"/>
        <v>0</v>
      </c>
      <c r="DF30" s="514">
        <f>AT30*'3 Saalis'!CK101</f>
        <v>0</v>
      </c>
      <c r="DG30" s="514">
        <f>AU30*'3 Saalis'!CL101</f>
        <v>0</v>
      </c>
      <c r="DH30" s="514">
        <f>AV30*'3 Saalis'!CM101</f>
        <v>0</v>
      </c>
      <c r="DI30" s="514">
        <f>AW30*'3 Saalis'!CN101</f>
        <v>0</v>
      </c>
      <c r="DJ30" s="514">
        <f>AX30*'3 Saalis'!CO101</f>
        <v>0</v>
      </c>
      <c r="DK30" s="514">
        <f>AY30*'3 Saalis'!CP101</f>
        <v>0</v>
      </c>
      <c r="DL30" s="514">
        <f>AZ30*'3 Saalis'!CQ101</f>
        <v>0</v>
      </c>
      <c r="DM30" s="514">
        <f>BA30*'3 Saalis'!CR101</f>
        <v>0</v>
      </c>
      <c r="DN30" s="514">
        <f>BB30*'3 Saalis'!CS101</f>
        <v>0</v>
      </c>
      <c r="DO30" s="514">
        <f>BC30*'3 Saalis'!CT101</f>
        <v>0</v>
      </c>
      <c r="DP30" s="514">
        <f>BD30*'3 Saalis'!CU101</f>
        <v>0</v>
      </c>
      <c r="DQ30" s="525">
        <f>BE30*'3 Saalis'!CV101</f>
        <v>0</v>
      </c>
      <c r="DS30" s="57" t="s">
        <v>534</v>
      </c>
      <c r="DT30" s="68"/>
      <c r="DU30" s="510">
        <f t="shared" si="13"/>
        <v>0</v>
      </c>
      <c r="DV30" s="514">
        <f>AT30*'3 Saalis'!CK123</f>
        <v>0</v>
      </c>
      <c r="DW30" s="514">
        <f>AU30*'3 Saalis'!CL123</f>
        <v>0</v>
      </c>
      <c r="DX30" s="514">
        <f>AV30*'3 Saalis'!CM123</f>
        <v>0</v>
      </c>
      <c r="DY30" s="514">
        <f>AW30*'3 Saalis'!CN123</f>
        <v>0</v>
      </c>
      <c r="DZ30" s="514">
        <f>AX30*'3 Saalis'!CO123</f>
        <v>0</v>
      </c>
      <c r="EA30" s="514">
        <f>AY30*'3 Saalis'!CP123</f>
        <v>0</v>
      </c>
      <c r="EB30" s="514">
        <f>AZ30*'3 Saalis'!CQ123</f>
        <v>0</v>
      </c>
      <c r="EC30" s="514">
        <f>BA30*'3 Saalis'!CR123</f>
        <v>0</v>
      </c>
      <c r="ED30" s="514">
        <f>BB30*'3 Saalis'!CS123</f>
        <v>0</v>
      </c>
      <c r="EE30" s="514">
        <f>BC30*'3 Saalis'!CT123</f>
        <v>0</v>
      </c>
      <c r="EF30" s="514">
        <f>BD30*'3 Saalis'!CU123</f>
        <v>0</v>
      </c>
      <c r="EG30" s="525">
        <f>BE30*'3 Saalis'!CV123</f>
        <v>0</v>
      </c>
      <c r="EI30" s="57" t="s">
        <v>534</v>
      </c>
      <c r="EJ30" s="68"/>
      <c r="EK30" s="510">
        <f t="shared" si="14"/>
        <v>0</v>
      </c>
      <c r="EL30" s="514">
        <f>AT30*'3 Saalis'!CK145</f>
        <v>0</v>
      </c>
      <c r="EM30" s="514">
        <f>AU30*'3 Saalis'!CL145</f>
        <v>0</v>
      </c>
      <c r="EN30" s="514">
        <f>AV30*'3 Saalis'!CM145</f>
        <v>0</v>
      </c>
      <c r="EO30" s="514">
        <f>AW30*'3 Saalis'!CN145</f>
        <v>0</v>
      </c>
      <c r="EP30" s="514">
        <f>AX30*'3 Saalis'!CO145</f>
        <v>0</v>
      </c>
      <c r="EQ30" s="514">
        <f>AY30*'3 Saalis'!CP145</f>
        <v>0</v>
      </c>
      <c r="ER30" s="514">
        <f>AZ30*'3 Saalis'!CQ145</f>
        <v>0</v>
      </c>
      <c r="ES30" s="514">
        <f>BA30*'3 Saalis'!CR145</f>
        <v>0</v>
      </c>
      <c r="ET30" s="514">
        <f>BB30*'3 Saalis'!CS145</f>
        <v>0</v>
      </c>
      <c r="EU30" s="514">
        <f>BC30*'3 Saalis'!CT145</f>
        <v>0</v>
      </c>
      <c r="EV30" s="514">
        <f>BD30*'3 Saalis'!CU145</f>
        <v>0</v>
      </c>
      <c r="EW30" s="525">
        <f>BE30*'3 Saalis'!CV145</f>
        <v>0</v>
      </c>
    </row>
    <row r="31" spans="2:153" x14ac:dyDescent="0.2">
      <c r="B31" s="57" t="s">
        <v>102</v>
      </c>
      <c r="C31" s="1530">
        <v>1</v>
      </c>
      <c r="D31" s="1532">
        <v>3</v>
      </c>
      <c r="E31" s="128"/>
      <c r="F31" s="1534">
        <v>8</v>
      </c>
      <c r="G31" s="128"/>
      <c r="I31" s="15"/>
      <c r="K31" s="57" t="s">
        <v>535</v>
      </c>
      <c r="L31" s="68"/>
      <c r="M31" s="510">
        <f t="shared" si="6"/>
        <v>0</v>
      </c>
      <c r="N31" s="530">
        <f>'4 Myynti'!E90+'4 Myynti'!E100</f>
        <v>0</v>
      </c>
      <c r="O31" s="524">
        <f>'4 Myynti'!F90+'4 Myynti'!F100</f>
        <v>0</v>
      </c>
      <c r="P31" s="524">
        <f>'4 Myynti'!G90+'4 Myynti'!G100</f>
        <v>0</v>
      </c>
      <c r="Q31" s="524">
        <f>'4 Myynti'!H90+'4 Myynti'!H100</f>
        <v>0</v>
      </c>
      <c r="R31" s="524">
        <f>'4 Myynti'!I90+'4 Myynti'!I100</f>
        <v>0</v>
      </c>
      <c r="S31" s="524">
        <f>'4 Myynti'!J90+'4 Myynti'!J100</f>
        <v>0</v>
      </c>
      <c r="T31" s="524">
        <f>'4 Myynti'!K90+'4 Myynti'!K100</f>
        <v>0</v>
      </c>
      <c r="U31" s="524">
        <f>'4 Myynti'!L90+'4 Myynti'!L100</f>
        <v>0</v>
      </c>
      <c r="V31" s="524">
        <f>'4 Myynti'!M90+'4 Myynti'!M100</f>
        <v>0</v>
      </c>
      <c r="W31" s="524">
        <f>'4 Myynti'!N90+'4 Myynti'!N100</f>
        <v>0</v>
      </c>
      <c r="X31" s="524">
        <f>'4 Myynti'!O90+'4 Myynti'!O100</f>
        <v>0</v>
      </c>
      <c r="Y31" s="525">
        <f>'4 Myynti'!P90+'4 Myynti'!P100</f>
        <v>0</v>
      </c>
      <c r="AA31" s="57" t="s">
        <v>535</v>
      </c>
      <c r="AB31" s="68"/>
      <c r="AC31" s="1392">
        <f>SUM(AD31:AO31)</f>
        <v>0</v>
      </c>
      <c r="AD31" s="514">
        <f t="shared" ref="AD31:AO31" si="20">N31/100*$F$33</f>
        <v>0</v>
      </c>
      <c r="AE31" s="514">
        <f t="shared" si="20"/>
        <v>0</v>
      </c>
      <c r="AF31" s="514">
        <f t="shared" si="20"/>
        <v>0</v>
      </c>
      <c r="AG31" s="514">
        <f t="shared" si="20"/>
        <v>0</v>
      </c>
      <c r="AH31" s="514">
        <f t="shared" si="20"/>
        <v>0</v>
      </c>
      <c r="AI31" s="514">
        <f t="shared" si="20"/>
        <v>0</v>
      </c>
      <c r="AJ31" s="514">
        <f t="shared" si="20"/>
        <v>0</v>
      </c>
      <c r="AK31" s="514">
        <f t="shared" si="20"/>
        <v>0</v>
      </c>
      <c r="AL31" s="514">
        <f t="shared" si="20"/>
        <v>0</v>
      </c>
      <c r="AM31" s="514">
        <f t="shared" si="20"/>
        <v>0</v>
      </c>
      <c r="AN31" s="514">
        <f t="shared" si="20"/>
        <v>0</v>
      </c>
      <c r="AO31" s="525">
        <f t="shared" si="20"/>
        <v>0</v>
      </c>
      <c r="AQ31" s="57" t="s">
        <v>535</v>
      </c>
      <c r="AR31" s="68"/>
      <c r="AS31" s="510">
        <f t="shared" si="8"/>
        <v>0</v>
      </c>
      <c r="AT31" s="514">
        <f>AD31*'11. Työtunnit'!$C$7</f>
        <v>0</v>
      </c>
      <c r="AU31" s="514">
        <f>AE31*'11. Työtunnit'!$C$7</f>
        <v>0</v>
      </c>
      <c r="AV31" s="514">
        <f>AF31*'11. Työtunnit'!$C$7</f>
        <v>0</v>
      </c>
      <c r="AW31" s="514">
        <f>AG31*'11. Työtunnit'!$C$7</f>
        <v>0</v>
      </c>
      <c r="AX31" s="514">
        <f>AH31*'11. Työtunnit'!$C$7</f>
        <v>0</v>
      </c>
      <c r="AY31" s="514">
        <f>AI31*'11. Työtunnit'!$C$7</f>
        <v>0</v>
      </c>
      <c r="AZ31" s="514">
        <f>AJ31*'11. Työtunnit'!$C$7</f>
        <v>0</v>
      </c>
      <c r="BA31" s="514">
        <f>AK31*'11. Työtunnit'!$C$7</f>
        <v>0</v>
      </c>
      <c r="BB31" s="514">
        <f>AL31*'11. Työtunnit'!$C$7</f>
        <v>0</v>
      </c>
      <c r="BC31" s="514">
        <f>AM31*'11. Työtunnit'!$C$7</f>
        <v>0</v>
      </c>
      <c r="BD31" s="514">
        <f>AN31*'11. Työtunnit'!$C$7</f>
        <v>0</v>
      </c>
      <c r="BE31" s="525">
        <f>AO31*'11. Työtunnit'!$C$7</f>
        <v>0</v>
      </c>
      <c r="BG31" s="57" t="s">
        <v>535</v>
      </c>
      <c r="BH31" s="68"/>
      <c r="BI31" s="510">
        <f t="shared" si="9"/>
        <v>0</v>
      </c>
      <c r="BJ31" s="514">
        <f>AT31*'3 Saalis'!CK35</f>
        <v>0</v>
      </c>
      <c r="BK31" s="514">
        <f>AU31*'3 Saalis'!CL35</f>
        <v>0</v>
      </c>
      <c r="BL31" s="514">
        <f>AV31*'3 Saalis'!CM35</f>
        <v>0</v>
      </c>
      <c r="BM31" s="514">
        <f>AW31*'3 Saalis'!CN35</f>
        <v>0</v>
      </c>
      <c r="BN31" s="514">
        <f>AX31*'3 Saalis'!CO35</f>
        <v>0</v>
      </c>
      <c r="BO31" s="514">
        <f>AY31*'3 Saalis'!CP35</f>
        <v>0</v>
      </c>
      <c r="BP31" s="514">
        <f>AZ31*'3 Saalis'!CQ35</f>
        <v>0</v>
      </c>
      <c r="BQ31" s="514">
        <f>BA31*'3 Saalis'!CR35</f>
        <v>0</v>
      </c>
      <c r="BR31" s="514">
        <f>BB31*'3 Saalis'!CS35</f>
        <v>0</v>
      </c>
      <c r="BS31" s="514">
        <f>BC31*'3 Saalis'!CT35</f>
        <v>0</v>
      </c>
      <c r="BT31" s="514">
        <f>BD31*'3 Saalis'!CU35</f>
        <v>0</v>
      </c>
      <c r="BU31" s="525">
        <f>BE31*'3 Saalis'!CV35</f>
        <v>0</v>
      </c>
      <c r="BW31" s="57" t="s">
        <v>535</v>
      </c>
      <c r="BX31" s="68"/>
      <c r="BY31" s="510">
        <f t="shared" si="10"/>
        <v>0</v>
      </c>
      <c r="BZ31" s="514">
        <f>AT31*'3 Saalis'!CK57</f>
        <v>0</v>
      </c>
      <c r="CA31" s="514">
        <f>AU31*'3 Saalis'!CL57</f>
        <v>0</v>
      </c>
      <c r="CB31" s="514">
        <f>AV31*'3 Saalis'!CM57</f>
        <v>0</v>
      </c>
      <c r="CC31" s="514">
        <f>AW31*'3 Saalis'!CN57</f>
        <v>0</v>
      </c>
      <c r="CD31" s="514">
        <f>AX31*'3 Saalis'!CO57</f>
        <v>0</v>
      </c>
      <c r="CE31" s="514">
        <f>AY31*'3 Saalis'!CP57</f>
        <v>0</v>
      </c>
      <c r="CF31" s="514">
        <f>AZ31*'3 Saalis'!CQ57</f>
        <v>0</v>
      </c>
      <c r="CG31" s="514">
        <f>BA31*'3 Saalis'!CR57</f>
        <v>0</v>
      </c>
      <c r="CH31" s="514">
        <f>BB31*'3 Saalis'!CS57</f>
        <v>0</v>
      </c>
      <c r="CI31" s="514">
        <f>BC31*'3 Saalis'!CT57</f>
        <v>0</v>
      </c>
      <c r="CJ31" s="514">
        <f>BD31*'3 Saalis'!CU57</f>
        <v>0</v>
      </c>
      <c r="CK31" s="525">
        <f>BE31*'3 Saalis'!CV57</f>
        <v>0</v>
      </c>
      <c r="CM31" s="57" t="s">
        <v>535</v>
      </c>
      <c r="CN31" s="68"/>
      <c r="CO31" s="510">
        <f t="shared" si="11"/>
        <v>0</v>
      </c>
      <c r="CP31" s="514">
        <f>AT31*'3 Saalis'!CK79</f>
        <v>0</v>
      </c>
      <c r="CQ31" s="514">
        <f>AU31*'3 Saalis'!CL79</f>
        <v>0</v>
      </c>
      <c r="CR31" s="514">
        <f>AV31*'3 Saalis'!CM79</f>
        <v>0</v>
      </c>
      <c r="CS31" s="514">
        <f>AW31*'3 Saalis'!CN79</f>
        <v>0</v>
      </c>
      <c r="CT31" s="514">
        <f>AX31*'3 Saalis'!CO79</f>
        <v>0</v>
      </c>
      <c r="CU31" s="514">
        <f>AY31*'3 Saalis'!CP79</f>
        <v>0</v>
      </c>
      <c r="CV31" s="514">
        <f>AZ31*'3 Saalis'!CQ79</f>
        <v>0</v>
      </c>
      <c r="CW31" s="514">
        <f>BA31*'3 Saalis'!CR79</f>
        <v>0</v>
      </c>
      <c r="CX31" s="514">
        <f>BB31*'3 Saalis'!CS79</f>
        <v>0</v>
      </c>
      <c r="CY31" s="514">
        <f>BC31*'3 Saalis'!CT79</f>
        <v>0</v>
      </c>
      <c r="CZ31" s="514">
        <f>BD31*'3 Saalis'!CU79</f>
        <v>0</v>
      </c>
      <c r="DA31" s="525">
        <f>BE31*'3 Saalis'!CV79</f>
        <v>0</v>
      </c>
      <c r="DC31" s="57" t="s">
        <v>535</v>
      </c>
      <c r="DD31" s="68"/>
      <c r="DE31" s="510">
        <f t="shared" si="12"/>
        <v>0</v>
      </c>
      <c r="DF31" s="514">
        <f>AT31*'3 Saalis'!CK101</f>
        <v>0</v>
      </c>
      <c r="DG31" s="514">
        <f>AU31*'3 Saalis'!CL101</f>
        <v>0</v>
      </c>
      <c r="DH31" s="514">
        <f>AV31*'3 Saalis'!CM101</f>
        <v>0</v>
      </c>
      <c r="DI31" s="514">
        <f>AW31*'3 Saalis'!CN101</f>
        <v>0</v>
      </c>
      <c r="DJ31" s="514">
        <f>AX31*'3 Saalis'!CO101</f>
        <v>0</v>
      </c>
      <c r="DK31" s="514">
        <f>AY31*'3 Saalis'!CP101</f>
        <v>0</v>
      </c>
      <c r="DL31" s="514">
        <f>AZ31*'3 Saalis'!CQ101</f>
        <v>0</v>
      </c>
      <c r="DM31" s="514">
        <f>BA31*'3 Saalis'!CR101</f>
        <v>0</v>
      </c>
      <c r="DN31" s="514">
        <f>BB31*'3 Saalis'!CS101</f>
        <v>0</v>
      </c>
      <c r="DO31" s="514">
        <f>BC31*'3 Saalis'!CT101</f>
        <v>0</v>
      </c>
      <c r="DP31" s="514">
        <f>BD31*'3 Saalis'!CU101</f>
        <v>0</v>
      </c>
      <c r="DQ31" s="525">
        <f>BE31*'3 Saalis'!CV101</f>
        <v>0</v>
      </c>
      <c r="DS31" s="57" t="s">
        <v>535</v>
      </c>
      <c r="DT31" s="68"/>
      <c r="DU31" s="510">
        <f t="shared" si="13"/>
        <v>0</v>
      </c>
      <c r="DV31" s="514">
        <f>AT31*'3 Saalis'!CK123</f>
        <v>0</v>
      </c>
      <c r="DW31" s="514">
        <f>AU31*'3 Saalis'!CL123</f>
        <v>0</v>
      </c>
      <c r="DX31" s="514">
        <f>AV31*'3 Saalis'!CM123</f>
        <v>0</v>
      </c>
      <c r="DY31" s="514">
        <f>AW31*'3 Saalis'!CN123</f>
        <v>0</v>
      </c>
      <c r="DZ31" s="514">
        <f>AX31*'3 Saalis'!CO123</f>
        <v>0</v>
      </c>
      <c r="EA31" s="514">
        <f>AY31*'3 Saalis'!CP123</f>
        <v>0</v>
      </c>
      <c r="EB31" s="514">
        <f>AZ31*'3 Saalis'!CQ123</f>
        <v>0</v>
      </c>
      <c r="EC31" s="514">
        <f>BA31*'3 Saalis'!CR123</f>
        <v>0</v>
      </c>
      <c r="ED31" s="514">
        <f>BB31*'3 Saalis'!CS123</f>
        <v>0</v>
      </c>
      <c r="EE31" s="514">
        <f>BC31*'3 Saalis'!CT123</f>
        <v>0</v>
      </c>
      <c r="EF31" s="514">
        <f>BD31*'3 Saalis'!CU123</f>
        <v>0</v>
      </c>
      <c r="EG31" s="525">
        <f>BE31*'3 Saalis'!CV123</f>
        <v>0</v>
      </c>
      <c r="EI31" s="57" t="s">
        <v>535</v>
      </c>
      <c r="EJ31" s="68"/>
      <c r="EK31" s="510">
        <f t="shared" si="14"/>
        <v>0</v>
      </c>
      <c r="EL31" s="514">
        <f>AT31*'3 Saalis'!CK145</f>
        <v>0</v>
      </c>
      <c r="EM31" s="514">
        <f>AU31*'3 Saalis'!CL145</f>
        <v>0</v>
      </c>
      <c r="EN31" s="514">
        <f>AV31*'3 Saalis'!CM145</f>
        <v>0</v>
      </c>
      <c r="EO31" s="514">
        <f>AW31*'3 Saalis'!CN145</f>
        <v>0</v>
      </c>
      <c r="EP31" s="514">
        <f>AX31*'3 Saalis'!CO145</f>
        <v>0</v>
      </c>
      <c r="EQ31" s="514">
        <f>AY31*'3 Saalis'!CP145</f>
        <v>0</v>
      </c>
      <c r="ER31" s="514">
        <f>AZ31*'3 Saalis'!CQ145</f>
        <v>0</v>
      </c>
      <c r="ES31" s="514">
        <f>BA31*'3 Saalis'!CR145</f>
        <v>0</v>
      </c>
      <c r="ET31" s="514">
        <f>BB31*'3 Saalis'!CS145</f>
        <v>0</v>
      </c>
      <c r="EU31" s="514">
        <f>BC31*'3 Saalis'!CT145</f>
        <v>0</v>
      </c>
      <c r="EV31" s="514">
        <f>BD31*'3 Saalis'!CU145</f>
        <v>0</v>
      </c>
      <c r="EW31" s="525">
        <f>BE31*'3 Saalis'!CV145</f>
        <v>0</v>
      </c>
    </row>
    <row r="32" spans="2:153" x14ac:dyDescent="0.2">
      <c r="B32" s="57" t="s">
        <v>119</v>
      </c>
      <c r="C32" s="1530">
        <v>1</v>
      </c>
      <c r="D32" s="1532">
        <v>1</v>
      </c>
      <c r="E32" s="128"/>
      <c r="F32" s="1534">
        <v>4</v>
      </c>
      <c r="G32" s="128" t="s">
        <v>1</v>
      </c>
      <c r="I32" s="15"/>
      <c r="K32" s="57" t="s">
        <v>536</v>
      </c>
      <c r="L32" s="68"/>
      <c r="M32" s="510">
        <f t="shared" si="6"/>
        <v>0</v>
      </c>
      <c r="N32" s="530">
        <f>'4 Myynti'!E91+'4 Myynti'!E101</f>
        <v>0</v>
      </c>
      <c r="O32" s="524">
        <f>'4 Myynti'!F91+'4 Myynti'!F101</f>
        <v>0</v>
      </c>
      <c r="P32" s="524">
        <f>'4 Myynti'!G91+'4 Myynti'!G101</f>
        <v>0</v>
      </c>
      <c r="Q32" s="524">
        <f>'4 Myynti'!H91+'4 Myynti'!H101</f>
        <v>0</v>
      </c>
      <c r="R32" s="524">
        <f>'4 Myynti'!I91+'4 Myynti'!I101</f>
        <v>0</v>
      </c>
      <c r="S32" s="524">
        <f>'4 Myynti'!J91+'4 Myynti'!J101</f>
        <v>0</v>
      </c>
      <c r="T32" s="524">
        <f>'4 Myynti'!K91+'4 Myynti'!K101</f>
        <v>0</v>
      </c>
      <c r="U32" s="524">
        <f>'4 Myynti'!L91+'4 Myynti'!L101</f>
        <v>0</v>
      </c>
      <c r="V32" s="524">
        <f>'4 Myynti'!M91+'4 Myynti'!M101</f>
        <v>0</v>
      </c>
      <c r="W32" s="524">
        <f>'4 Myynti'!N91+'4 Myynti'!N101</f>
        <v>0</v>
      </c>
      <c r="X32" s="524">
        <f>'4 Myynti'!O91+'4 Myynti'!O101</f>
        <v>0</v>
      </c>
      <c r="Y32" s="525">
        <f>'4 Myynti'!P91+'4 Myynti'!P101</f>
        <v>0</v>
      </c>
      <c r="AA32" s="57" t="s">
        <v>536</v>
      </c>
      <c r="AB32" s="68"/>
      <c r="AC32" s="1392">
        <f t="shared" si="16"/>
        <v>0</v>
      </c>
      <c r="AD32" s="514">
        <f t="shared" ref="AD32:AO32" si="21">N32/100*$F$34</f>
        <v>0</v>
      </c>
      <c r="AE32" s="514">
        <f t="shared" si="21"/>
        <v>0</v>
      </c>
      <c r="AF32" s="514">
        <f t="shared" si="21"/>
        <v>0</v>
      </c>
      <c r="AG32" s="514">
        <f t="shared" si="21"/>
        <v>0</v>
      </c>
      <c r="AH32" s="514">
        <f t="shared" si="21"/>
        <v>0</v>
      </c>
      <c r="AI32" s="514">
        <f t="shared" si="21"/>
        <v>0</v>
      </c>
      <c r="AJ32" s="514">
        <f t="shared" si="21"/>
        <v>0</v>
      </c>
      <c r="AK32" s="514">
        <f t="shared" si="21"/>
        <v>0</v>
      </c>
      <c r="AL32" s="514">
        <f t="shared" si="21"/>
        <v>0</v>
      </c>
      <c r="AM32" s="514">
        <f t="shared" si="21"/>
        <v>0</v>
      </c>
      <c r="AN32" s="514">
        <f t="shared" si="21"/>
        <v>0</v>
      </c>
      <c r="AO32" s="525">
        <f t="shared" si="21"/>
        <v>0</v>
      </c>
      <c r="AQ32" s="57" t="s">
        <v>536</v>
      </c>
      <c r="AR32" s="68"/>
      <c r="AS32" s="510">
        <f t="shared" si="8"/>
        <v>0</v>
      </c>
      <c r="AT32" s="514">
        <f>AD32*'11. Työtunnit'!$C$7</f>
        <v>0</v>
      </c>
      <c r="AU32" s="514">
        <f>AE32*'11. Työtunnit'!$C$7</f>
        <v>0</v>
      </c>
      <c r="AV32" s="514">
        <f>AF32*'11. Työtunnit'!$C$7</f>
        <v>0</v>
      </c>
      <c r="AW32" s="514">
        <f>AG32*'11. Työtunnit'!$C$7</f>
        <v>0</v>
      </c>
      <c r="AX32" s="514">
        <f>AH32*'11. Työtunnit'!$C$7</f>
        <v>0</v>
      </c>
      <c r="AY32" s="514">
        <f>AI32*'11. Työtunnit'!$C$7</f>
        <v>0</v>
      </c>
      <c r="AZ32" s="514">
        <f>AJ32*'11. Työtunnit'!$C$7</f>
        <v>0</v>
      </c>
      <c r="BA32" s="514">
        <f>AK32*'11. Työtunnit'!$C$7</f>
        <v>0</v>
      </c>
      <c r="BB32" s="514">
        <f>AL32*'11. Työtunnit'!$C$7</f>
        <v>0</v>
      </c>
      <c r="BC32" s="514">
        <f>AM32*'11. Työtunnit'!$C$7</f>
        <v>0</v>
      </c>
      <c r="BD32" s="514">
        <f>AN32*'11. Työtunnit'!$C$7</f>
        <v>0</v>
      </c>
      <c r="BE32" s="525">
        <f>AO32*'11. Työtunnit'!$C$7</f>
        <v>0</v>
      </c>
      <c r="BG32" s="57" t="s">
        <v>536</v>
      </c>
      <c r="BH32" s="68"/>
      <c r="BI32" s="510">
        <f t="shared" si="9"/>
        <v>0</v>
      </c>
      <c r="BJ32" s="514">
        <f>AT32*'3 Saalis'!CK35</f>
        <v>0</v>
      </c>
      <c r="BK32" s="514">
        <f>AU32*'3 Saalis'!CL35</f>
        <v>0</v>
      </c>
      <c r="BL32" s="514">
        <f>AV32*'3 Saalis'!CM35</f>
        <v>0</v>
      </c>
      <c r="BM32" s="514">
        <f>AW32*'3 Saalis'!CN35</f>
        <v>0</v>
      </c>
      <c r="BN32" s="514">
        <f>AX32*'3 Saalis'!CO35</f>
        <v>0</v>
      </c>
      <c r="BO32" s="514">
        <f>AY32*'3 Saalis'!CP35</f>
        <v>0</v>
      </c>
      <c r="BP32" s="514">
        <f>AZ32*'3 Saalis'!CQ35</f>
        <v>0</v>
      </c>
      <c r="BQ32" s="514">
        <f>BA32*'3 Saalis'!CR35</f>
        <v>0</v>
      </c>
      <c r="BR32" s="514">
        <f>BB32*'3 Saalis'!CS35</f>
        <v>0</v>
      </c>
      <c r="BS32" s="514">
        <f>BC32*'3 Saalis'!CT35</f>
        <v>0</v>
      </c>
      <c r="BT32" s="514">
        <f>BD32*'3 Saalis'!CU35</f>
        <v>0</v>
      </c>
      <c r="BU32" s="525">
        <f>BE32*'3 Saalis'!CV35</f>
        <v>0</v>
      </c>
      <c r="BW32" s="57" t="s">
        <v>536</v>
      </c>
      <c r="BX32" s="68"/>
      <c r="BY32" s="510">
        <f t="shared" si="10"/>
        <v>0</v>
      </c>
      <c r="BZ32" s="514">
        <f>AT32*'3 Saalis'!CK57</f>
        <v>0</v>
      </c>
      <c r="CA32" s="514">
        <f>AU32*'3 Saalis'!CL57</f>
        <v>0</v>
      </c>
      <c r="CB32" s="514">
        <f>AV32*'3 Saalis'!CM57</f>
        <v>0</v>
      </c>
      <c r="CC32" s="514">
        <f>AW32*'3 Saalis'!CN57</f>
        <v>0</v>
      </c>
      <c r="CD32" s="514">
        <f>AX32*'3 Saalis'!CO57</f>
        <v>0</v>
      </c>
      <c r="CE32" s="514">
        <f>AY32*'3 Saalis'!CP57</f>
        <v>0</v>
      </c>
      <c r="CF32" s="514">
        <f>AZ32*'3 Saalis'!CQ57</f>
        <v>0</v>
      </c>
      <c r="CG32" s="514">
        <f>BA32*'3 Saalis'!CR57</f>
        <v>0</v>
      </c>
      <c r="CH32" s="514">
        <f>BB32*'3 Saalis'!CS57</f>
        <v>0</v>
      </c>
      <c r="CI32" s="514">
        <f>BC32*'3 Saalis'!CT57</f>
        <v>0</v>
      </c>
      <c r="CJ32" s="514">
        <f>BD32*'3 Saalis'!CU57</f>
        <v>0</v>
      </c>
      <c r="CK32" s="525">
        <f>BE32*'3 Saalis'!CV57</f>
        <v>0</v>
      </c>
      <c r="CM32" s="57" t="s">
        <v>536</v>
      </c>
      <c r="CN32" s="68"/>
      <c r="CO32" s="510">
        <f t="shared" si="11"/>
        <v>0</v>
      </c>
      <c r="CP32" s="514">
        <f>AT32*'3 Saalis'!CK79</f>
        <v>0</v>
      </c>
      <c r="CQ32" s="514">
        <f>AU32*'3 Saalis'!CL79</f>
        <v>0</v>
      </c>
      <c r="CR32" s="514">
        <f>AV32*'3 Saalis'!CM79</f>
        <v>0</v>
      </c>
      <c r="CS32" s="514">
        <f>AW32*'3 Saalis'!CN79</f>
        <v>0</v>
      </c>
      <c r="CT32" s="514">
        <f>AX32*'3 Saalis'!CO79</f>
        <v>0</v>
      </c>
      <c r="CU32" s="514">
        <f>AY32*'3 Saalis'!CP79</f>
        <v>0</v>
      </c>
      <c r="CV32" s="514">
        <f>AZ32*'3 Saalis'!CQ79</f>
        <v>0</v>
      </c>
      <c r="CW32" s="514">
        <f>BA32*'3 Saalis'!CR79</f>
        <v>0</v>
      </c>
      <c r="CX32" s="514">
        <f>BB32*'3 Saalis'!CS79</f>
        <v>0</v>
      </c>
      <c r="CY32" s="514">
        <f>BC32*'3 Saalis'!CT79</f>
        <v>0</v>
      </c>
      <c r="CZ32" s="514">
        <f>BD32*'3 Saalis'!CU79</f>
        <v>0</v>
      </c>
      <c r="DA32" s="525">
        <f>BE32*'3 Saalis'!CV79</f>
        <v>0</v>
      </c>
      <c r="DC32" s="57" t="s">
        <v>536</v>
      </c>
      <c r="DD32" s="68"/>
      <c r="DE32" s="510">
        <f t="shared" si="12"/>
        <v>0</v>
      </c>
      <c r="DF32" s="514">
        <f>AT32*'3 Saalis'!CK101</f>
        <v>0</v>
      </c>
      <c r="DG32" s="514">
        <f>AU32*'3 Saalis'!CL101</f>
        <v>0</v>
      </c>
      <c r="DH32" s="514">
        <f>AV32*'3 Saalis'!CM101</f>
        <v>0</v>
      </c>
      <c r="DI32" s="514">
        <f>AW32*'3 Saalis'!CN101</f>
        <v>0</v>
      </c>
      <c r="DJ32" s="514">
        <f>AX32*'3 Saalis'!CO101</f>
        <v>0</v>
      </c>
      <c r="DK32" s="514">
        <f>AY32*'3 Saalis'!CP101</f>
        <v>0</v>
      </c>
      <c r="DL32" s="514">
        <f>AZ32*'3 Saalis'!CQ101</f>
        <v>0</v>
      </c>
      <c r="DM32" s="514">
        <f>BA32*'3 Saalis'!CR101</f>
        <v>0</v>
      </c>
      <c r="DN32" s="514">
        <f>BB32*'3 Saalis'!CS101</f>
        <v>0</v>
      </c>
      <c r="DO32" s="514">
        <f>BC32*'3 Saalis'!CT101</f>
        <v>0</v>
      </c>
      <c r="DP32" s="514">
        <f>BD32*'3 Saalis'!CU101</f>
        <v>0</v>
      </c>
      <c r="DQ32" s="525">
        <f>BE32*'3 Saalis'!CV101</f>
        <v>0</v>
      </c>
      <c r="DS32" s="57" t="s">
        <v>536</v>
      </c>
      <c r="DT32" s="68"/>
      <c r="DU32" s="510">
        <f t="shared" si="13"/>
        <v>0</v>
      </c>
      <c r="DV32" s="514">
        <f>AT32*'3 Saalis'!CK123</f>
        <v>0</v>
      </c>
      <c r="DW32" s="514">
        <f>AU32*'3 Saalis'!CL123</f>
        <v>0</v>
      </c>
      <c r="DX32" s="514">
        <f>AV32*'3 Saalis'!CM123</f>
        <v>0</v>
      </c>
      <c r="DY32" s="514">
        <f>AW32*'3 Saalis'!CN123</f>
        <v>0</v>
      </c>
      <c r="DZ32" s="514">
        <f>AX32*'3 Saalis'!CO123</f>
        <v>0</v>
      </c>
      <c r="EA32" s="514">
        <f>AY32*'3 Saalis'!CP123</f>
        <v>0</v>
      </c>
      <c r="EB32" s="514">
        <f>AZ32*'3 Saalis'!CQ123</f>
        <v>0</v>
      </c>
      <c r="EC32" s="514">
        <f>BA32*'3 Saalis'!CR123</f>
        <v>0</v>
      </c>
      <c r="ED32" s="514">
        <f>BB32*'3 Saalis'!CS123</f>
        <v>0</v>
      </c>
      <c r="EE32" s="514">
        <f>BC32*'3 Saalis'!CT123</f>
        <v>0</v>
      </c>
      <c r="EF32" s="514">
        <f>BD32*'3 Saalis'!CU123</f>
        <v>0</v>
      </c>
      <c r="EG32" s="525">
        <f>BE32*'3 Saalis'!CV123</f>
        <v>0</v>
      </c>
      <c r="EI32" s="57" t="s">
        <v>536</v>
      </c>
      <c r="EJ32" s="68"/>
      <c r="EK32" s="510">
        <f t="shared" si="14"/>
        <v>0</v>
      </c>
      <c r="EL32" s="514">
        <f>AT32*'3 Saalis'!CK145</f>
        <v>0</v>
      </c>
      <c r="EM32" s="514">
        <f>AU32*'3 Saalis'!CL145</f>
        <v>0</v>
      </c>
      <c r="EN32" s="514">
        <f>AV32*'3 Saalis'!CM145</f>
        <v>0</v>
      </c>
      <c r="EO32" s="514">
        <f>AW32*'3 Saalis'!CN145</f>
        <v>0</v>
      </c>
      <c r="EP32" s="514">
        <f>AX32*'3 Saalis'!CO145</f>
        <v>0</v>
      </c>
      <c r="EQ32" s="514">
        <f>AY32*'3 Saalis'!CP145</f>
        <v>0</v>
      </c>
      <c r="ER32" s="514">
        <f>AZ32*'3 Saalis'!CQ145</f>
        <v>0</v>
      </c>
      <c r="ES32" s="514">
        <f>BA32*'3 Saalis'!CR145</f>
        <v>0</v>
      </c>
      <c r="ET32" s="514">
        <f>BB32*'3 Saalis'!CS145</f>
        <v>0</v>
      </c>
      <c r="EU32" s="514">
        <f>BC32*'3 Saalis'!CT145</f>
        <v>0</v>
      </c>
      <c r="EV32" s="514">
        <f>BD32*'3 Saalis'!CU145</f>
        <v>0</v>
      </c>
      <c r="EW32" s="525">
        <f>BE32*'3 Saalis'!CV145</f>
        <v>0</v>
      </c>
    </row>
    <row r="33" spans="2:153" x14ac:dyDescent="0.2">
      <c r="B33" s="57" t="s">
        <v>120</v>
      </c>
      <c r="C33" s="1530">
        <v>1</v>
      </c>
      <c r="D33" s="1532">
        <v>1.2</v>
      </c>
      <c r="E33" s="128"/>
      <c r="F33" s="1534">
        <v>5</v>
      </c>
      <c r="G33" s="128" t="s">
        <v>1</v>
      </c>
      <c r="I33" s="15"/>
      <c r="K33" s="57" t="s">
        <v>537</v>
      </c>
      <c r="L33" s="68"/>
      <c r="M33" s="510">
        <f t="shared" si="6"/>
        <v>0</v>
      </c>
      <c r="N33" s="530">
        <f>'4 Myynti'!E92+'4 Myynti'!E102</f>
        <v>0</v>
      </c>
      <c r="O33" s="524">
        <f>'4 Myynti'!F92+'4 Myynti'!F102</f>
        <v>0</v>
      </c>
      <c r="P33" s="524">
        <f>'4 Myynti'!G92+'4 Myynti'!G102</f>
        <v>0</v>
      </c>
      <c r="Q33" s="524">
        <f>'4 Myynti'!H92+'4 Myynti'!H102</f>
        <v>0</v>
      </c>
      <c r="R33" s="524">
        <f>'4 Myynti'!I92+'4 Myynti'!I102</f>
        <v>0</v>
      </c>
      <c r="S33" s="524">
        <f>'4 Myynti'!J92+'4 Myynti'!J102</f>
        <v>0</v>
      </c>
      <c r="T33" s="524">
        <f>'4 Myynti'!K92+'4 Myynti'!K102</f>
        <v>0</v>
      </c>
      <c r="U33" s="524">
        <f>'4 Myynti'!L92+'4 Myynti'!L102</f>
        <v>0</v>
      </c>
      <c r="V33" s="524">
        <f>'4 Myynti'!M92+'4 Myynti'!M102</f>
        <v>0</v>
      </c>
      <c r="W33" s="524">
        <f>'4 Myynti'!N92+'4 Myynti'!N102</f>
        <v>0</v>
      </c>
      <c r="X33" s="524">
        <f>'4 Myynti'!O92+'4 Myynti'!O102</f>
        <v>0</v>
      </c>
      <c r="Y33" s="525">
        <f>'4 Myynti'!P92+'4 Myynti'!P102</f>
        <v>0</v>
      </c>
      <c r="AA33" s="57" t="s">
        <v>537</v>
      </c>
      <c r="AB33" s="68"/>
      <c r="AC33" s="1392">
        <f t="shared" si="16"/>
        <v>0</v>
      </c>
      <c r="AD33" s="514">
        <f t="shared" ref="AD33:AO33" si="22">N33/100*$F$35</f>
        <v>0</v>
      </c>
      <c r="AE33" s="514">
        <f t="shared" si="22"/>
        <v>0</v>
      </c>
      <c r="AF33" s="514">
        <f t="shared" si="22"/>
        <v>0</v>
      </c>
      <c r="AG33" s="514">
        <f t="shared" si="22"/>
        <v>0</v>
      </c>
      <c r="AH33" s="514">
        <f t="shared" si="22"/>
        <v>0</v>
      </c>
      <c r="AI33" s="514">
        <f t="shared" si="22"/>
        <v>0</v>
      </c>
      <c r="AJ33" s="514">
        <f t="shared" si="22"/>
        <v>0</v>
      </c>
      <c r="AK33" s="514">
        <f t="shared" si="22"/>
        <v>0</v>
      </c>
      <c r="AL33" s="514">
        <f t="shared" si="22"/>
        <v>0</v>
      </c>
      <c r="AM33" s="514">
        <f t="shared" si="22"/>
        <v>0</v>
      </c>
      <c r="AN33" s="514">
        <f t="shared" si="22"/>
        <v>0</v>
      </c>
      <c r="AO33" s="525">
        <f t="shared" si="22"/>
        <v>0</v>
      </c>
      <c r="AQ33" s="57" t="s">
        <v>537</v>
      </c>
      <c r="AR33" s="68"/>
      <c r="AS33" s="510">
        <f t="shared" si="8"/>
        <v>0</v>
      </c>
      <c r="AT33" s="514">
        <f>AD33*'11. Työtunnit'!$C$7</f>
        <v>0</v>
      </c>
      <c r="AU33" s="514">
        <f>AE33*'11. Työtunnit'!$C$7</f>
        <v>0</v>
      </c>
      <c r="AV33" s="514">
        <f>AF33*'11. Työtunnit'!$C$7</f>
        <v>0</v>
      </c>
      <c r="AW33" s="514">
        <f>AG33*'11. Työtunnit'!$C$7</f>
        <v>0</v>
      </c>
      <c r="AX33" s="514">
        <f>AH33*'11. Työtunnit'!$C$7</f>
        <v>0</v>
      </c>
      <c r="AY33" s="514">
        <f>AI33*'11. Työtunnit'!$C$7</f>
        <v>0</v>
      </c>
      <c r="AZ33" s="514">
        <f>AJ33*'11. Työtunnit'!$C$7</f>
        <v>0</v>
      </c>
      <c r="BA33" s="514">
        <f>AK33*'11. Työtunnit'!$C$7</f>
        <v>0</v>
      </c>
      <c r="BB33" s="514">
        <f>AL33*'11. Työtunnit'!$C$7</f>
        <v>0</v>
      </c>
      <c r="BC33" s="514">
        <f>AM33*'11. Työtunnit'!$C$7</f>
        <v>0</v>
      </c>
      <c r="BD33" s="514">
        <f>AN33*'11. Työtunnit'!$C$7</f>
        <v>0</v>
      </c>
      <c r="BE33" s="525">
        <f>AO33*'11. Työtunnit'!$C$7</f>
        <v>0</v>
      </c>
      <c r="BG33" s="57" t="s">
        <v>537</v>
      </c>
      <c r="BH33" s="68"/>
      <c r="BI33" s="510">
        <f t="shared" si="9"/>
        <v>0</v>
      </c>
      <c r="BJ33" s="514">
        <f>AT33*'3 Saalis'!CK35</f>
        <v>0</v>
      </c>
      <c r="BK33" s="514">
        <f>AU33*'3 Saalis'!CL35</f>
        <v>0</v>
      </c>
      <c r="BL33" s="514">
        <f>AV33*'3 Saalis'!CM35</f>
        <v>0</v>
      </c>
      <c r="BM33" s="514">
        <f>AW33*'3 Saalis'!CN35</f>
        <v>0</v>
      </c>
      <c r="BN33" s="514">
        <f>AX33*'3 Saalis'!CO35</f>
        <v>0</v>
      </c>
      <c r="BO33" s="514">
        <f>AY33*'3 Saalis'!CP35</f>
        <v>0</v>
      </c>
      <c r="BP33" s="514">
        <f>AZ33*'3 Saalis'!CQ35</f>
        <v>0</v>
      </c>
      <c r="BQ33" s="514">
        <f>BA33*'3 Saalis'!CR35</f>
        <v>0</v>
      </c>
      <c r="BR33" s="514">
        <f>BB33*'3 Saalis'!CS35</f>
        <v>0</v>
      </c>
      <c r="BS33" s="514">
        <f>BC33*'3 Saalis'!CT35</f>
        <v>0</v>
      </c>
      <c r="BT33" s="514">
        <f>BD33*'3 Saalis'!CU35</f>
        <v>0</v>
      </c>
      <c r="BU33" s="525">
        <f>BE33*'3 Saalis'!CV35</f>
        <v>0</v>
      </c>
      <c r="BW33" s="57" t="s">
        <v>537</v>
      </c>
      <c r="BX33" s="68"/>
      <c r="BY33" s="510">
        <f t="shared" si="10"/>
        <v>0</v>
      </c>
      <c r="BZ33" s="514">
        <f>AT33*'3 Saalis'!CK57</f>
        <v>0</v>
      </c>
      <c r="CA33" s="514">
        <f>AU33*'3 Saalis'!CL57</f>
        <v>0</v>
      </c>
      <c r="CB33" s="514">
        <f>AV33*'3 Saalis'!CM57</f>
        <v>0</v>
      </c>
      <c r="CC33" s="514">
        <f>AW33*'3 Saalis'!CN57</f>
        <v>0</v>
      </c>
      <c r="CD33" s="514">
        <f>AX33*'3 Saalis'!CO57</f>
        <v>0</v>
      </c>
      <c r="CE33" s="514">
        <f>AY33*'3 Saalis'!CP57</f>
        <v>0</v>
      </c>
      <c r="CF33" s="514">
        <f>AZ33*'3 Saalis'!CQ57</f>
        <v>0</v>
      </c>
      <c r="CG33" s="514">
        <f>BA33*'3 Saalis'!CR57</f>
        <v>0</v>
      </c>
      <c r="CH33" s="514">
        <f>BB33*'3 Saalis'!CS57</f>
        <v>0</v>
      </c>
      <c r="CI33" s="514">
        <f>BC33*'3 Saalis'!CT57</f>
        <v>0</v>
      </c>
      <c r="CJ33" s="514">
        <f>BD33*'3 Saalis'!CU57</f>
        <v>0</v>
      </c>
      <c r="CK33" s="525">
        <f>BE33*'3 Saalis'!CV57</f>
        <v>0</v>
      </c>
      <c r="CM33" s="57" t="s">
        <v>537</v>
      </c>
      <c r="CN33" s="68"/>
      <c r="CO33" s="510">
        <f t="shared" si="11"/>
        <v>0</v>
      </c>
      <c r="CP33" s="514">
        <f>AT33*'3 Saalis'!CK79</f>
        <v>0</v>
      </c>
      <c r="CQ33" s="514">
        <f>AU33*'3 Saalis'!CL79</f>
        <v>0</v>
      </c>
      <c r="CR33" s="514">
        <f>AV33*'3 Saalis'!CM79</f>
        <v>0</v>
      </c>
      <c r="CS33" s="514">
        <f>AW33*'3 Saalis'!CN79</f>
        <v>0</v>
      </c>
      <c r="CT33" s="514">
        <f>AX33*'3 Saalis'!CO79</f>
        <v>0</v>
      </c>
      <c r="CU33" s="514">
        <f>AY33*'3 Saalis'!CP79</f>
        <v>0</v>
      </c>
      <c r="CV33" s="514">
        <f>AZ33*'3 Saalis'!CQ79</f>
        <v>0</v>
      </c>
      <c r="CW33" s="514">
        <f>BA33*'3 Saalis'!CR79</f>
        <v>0</v>
      </c>
      <c r="CX33" s="514">
        <f>BB33*'3 Saalis'!CS79</f>
        <v>0</v>
      </c>
      <c r="CY33" s="514">
        <f>BC33*'3 Saalis'!CT79</f>
        <v>0</v>
      </c>
      <c r="CZ33" s="514">
        <f>BD33*'3 Saalis'!CU79</f>
        <v>0</v>
      </c>
      <c r="DA33" s="525">
        <f>BE33*'3 Saalis'!CV79</f>
        <v>0</v>
      </c>
      <c r="DC33" s="57" t="s">
        <v>537</v>
      </c>
      <c r="DD33" s="68"/>
      <c r="DE33" s="510">
        <f t="shared" si="12"/>
        <v>0</v>
      </c>
      <c r="DF33" s="514">
        <f>AT33*'3 Saalis'!CK101</f>
        <v>0</v>
      </c>
      <c r="DG33" s="514">
        <f>AU33*'3 Saalis'!CL101</f>
        <v>0</v>
      </c>
      <c r="DH33" s="514">
        <f>AV33*'3 Saalis'!CM101</f>
        <v>0</v>
      </c>
      <c r="DI33" s="514">
        <f>AW33*'3 Saalis'!CN101</f>
        <v>0</v>
      </c>
      <c r="DJ33" s="514">
        <f>AX33*'3 Saalis'!CO101</f>
        <v>0</v>
      </c>
      <c r="DK33" s="514">
        <f>AY33*'3 Saalis'!CP101</f>
        <v>0</v>
      </c>
      <c r="DL33" s="514">
        <f>AZ33*'3 Saalis'!CQ101</f>
        <v>0</v>
      </c>
      <c r="DM33" s="514">
        <f>BA33*'3 Saalis'!CR101</f>
        <v>0</v>
      </c>
      <c r="DN33" s="514">
        <f>BB33*'3 Saalis'!CS101</f>
        <v>0</v>
      </c>
      <c r="DO33" s="514">
        <f>BC33*'3 Saalis'!CT101</f>
        <v>0</v>
      </c>
      <c r="DP33" s="514">
        <f>BD33*'3 Saalis'!CU101</f>
        <v>0</v>
      </c>
      <c r="DQ33" s="525">
        <f>BE33*'3 Saalis'!CV101</f>
        <v>0</v>
      </c>
      <c r="DS33" s="57" t="s">
        <v>537</v>
      </c>
      <c r="DT33" s="68"/>
      <c r="DU33" s="510">
        <f t="shared" si="13"/>
        <v>0</v>
      </c>
      <c r="DV33" s="514">
        <f>AT33*'3 Saalis'!CK123</f>
        <v>0</v>
      </c>
      <c r="DW33" s="514">
        <f>AU33*'3 Saalis'!CL123</f>
        <v>0</v>
      </c>
      <c r="DX33" s="514">
        <f>AV33*'3 Saalis'!CM123</f>
        <v>0</v>
      </c>
      <c r="DY33" s="514">
        <f>AW33*'3 Saalis'!CN123</f>
        <v>0</v>
      </c>
      <c r="DZ33" s="514">
        <f>AX33*'3 Saalis'!CO123</f>
        <v>0</v>
      </c>
      <c r="EA33" s="514">
        <f>AY33*'3 Saalis'!CP123</f>
        <v>0</v>
      </c>
      <c r="EB33" s="514">
        <f>AZ33*'3 Saalis'!CQ123</f>
        <v>0</v>
      </c>
      <c r="EC33" s="514">
        <f>BA33*'3 Saalis'!CR123</f>
        <v>0</v>
      </c>
      <c r="ED33" s="514">
        <f>BB33*'3 Saalis'!CS123</f>
        <v>0</v>
      </c>
      <c r="EE33" s="514">
        <f>BC33*'3 Saalis'!CT123</f>
        <v>0</v>
      </c>
      <c r="EF33" s="514">
        <f>BD33*'3 Saalis'!CU123</f>
        <v>0</v>
      </c>
      <c r="EG33" s="525">
        <f>BE33*'3 Saalis'!CV123</f>
        <v>0</v>
      </c>
      <c r="EI33" s="57" t="s">
        <v>537</v>
      </c>
      <c r="EJ33" s="68"/>
      <c r="EK33" s="510">
        <f t="shared" si="14"/>
        <v>0</v>
      </c>
      <c r="EL33" s="514">
        <f>AT33*'3 Saalis'!CK145</f>
        <v>0</v>
      </c>
      <c r="EM33" s="514">
        <f>AU33*'3 Saalis'!CL145</f>
        <v>0</v>
      </c>
      <c r="EN33" s="514">
        <f>AV33*'3 Saalis'!CM145</f>
        <v>0</v>
      </c>
      <c r="EO33" s="514">
        <f>AW33*'3 Saalis'!CN145</f>
        <v>0</v>
      </c>
      <c r="EP33" s="514">
        <f>AX33*'3 Saalis'!CO145</f>
        <v>0</v>
      </c>
      <c r="EQ33" s="514">
        <f>AY33*'3 Saalis'!CP145</f>
        <v>0</v>
      </c>
      <c r="ER33" s="514">
        <f>AZ33*'3 Saalis'!CQ145</f>
        <v>0</v>
      </c>
      <c r="ES33" s="514">
        <f>BA33*'3 Saalis'!CR145</f>
        <v>0</v>
      </c>
      <c r="ET33" s="514">
        <f>BB33*'3 Saalis'!CS145</f>
        <v>0</v>
      </c>
      <c r="EU33" s="514">
        <f>BC33*'3 Saalis'!CT145</f>
        <v>0</v>
      </c>
      <c r="EV33" s="514">
        <f>BD33*'3 Saalis'!CU145</f>
        <v>0</v>
      </c>
      <c r="EW33" s="525">
        <f>BE33*'3 Saalis'!CV145</f>
        <v>0</v>
      </c>
    </row>
    <row r="34" spans="2:153" ht="13.5" thickBot="1" x14ac:dyDescent="0.25">
      <c r="B34" s="57" t="s">
        <v>121</v>
      </c>
      <c r="C34" s="1530">
        <v>1</v>
      </c>
      <c r="D34" s="1532">
        <v>1.5</v>
      </c>
      <c r="E34" s="128"/>
      <c r="F34" s="1534">
        <v>6</v>
      </c>
      <c r="G34" s="128" t="s">
        <v>1</v>
      </c>
      <c r="I34" s="15"/>
      <c r="K34" s="40" t="s">
        <v>178</v>
      </c>
      <c r="L34" s="76"/>
      <c r="M34" s="512">
        <f t="shared" si="6"/>
        <v>0</v>
      </c>
      <c r="N34" s="515">
        <f>'4 Myynti'!E93+'4 Myynti'!E103</f>
        <v>0</v>
      </c>
      <c r="O34" s="531">
        <f>'4 Myynti'!F93+'4 Myynti'!F103</f>
        <v>0</v>
      </c>
      <c r="P34" s="531">
        <f>'4 Myynti'!G93+'4 Myynti'!G103</f>
        <v>0</v>
      </c>
      <c r="Q34" s="531">
        <f>'4 Myynti'!H93+'4 Myynti'!H103</f>
        <v>0</v>
      </c>
      <c r="R34" s="531">
        <f>'4 Myynti'!I93+'4 Myynti'!I103</f>
        <v>0</v>
      </c>
      <c r="S34" s="531">
        <f>'4 Myynti'!J93+'4 Myynti'!J103</f>
        <v>0</v>
      </c>
      <c r="T34" s="531">
        <f>'4 Myynti'!K93+'4 Myynti'!K103</f>
        <v>0</v>
      </c>
      <c r="U34" s="531">
        <f>'4 Myynti'!L93+'4 Myynti'!L103</f>
        <v>0</v>
      </c>
      <c r="V34" s="531">
        <f>'4 Myynti'!M93+'4 Myynti'!M103</f>
        <v>0</v>
      </c>
      <c r="W34" s="531">
        <f>'4 Myynti'!N93+'4 Myynti'!N103</f>
        <v>0</v>
      </c>
      <c r="X34" s="531">
        <f>'4 Myynti'!O93+'4 Myynti'!O103</f>
        <v>0</v>
      </c>
      <c r="Y34" s="532">
        <f>'4 Myynti'!P93+'4 Myynti'!P103</f>
        <v>0</v>
      </c>
      <c r="AA34" s="40" t="s">
        <v>178</v>
      </c>
      <c r="AB34" s="76"/>
      <c r="AC34" s="1391">
        <f t="shared" si="16"/>
        <v>0</v>
      </c>
      <c r="AD34" s="521">
        <f t="shared" ref="AD34:AO34" si="23">N34/100*$G$36</f>
        <v>0</v>
      </c>
      <c r="AE34" s="521">
        <f t="shared" si="23"/>
        <v>0</v>
      </c>
      <c r="AF34" s="521">
        <f t="shared" si="23"/>
        <v>0</v>
      </c>
      <c r="AG34" s="521">
        <f t="shared" si="23"/>
        <v>0</v>
      </c>
      <c r="AH34" s="521">
        <f t="shared" si="23"/>
        <v>0</v>
      </c>
      <c r="AI34" s="521">
        <f t="shared" si="23"/>
        <v>0</v>
      </c>
      <c r="AJ34" s="521">
        <f t="shared" si="23"/>
        <v>0</v>
      </c>
      <c r="AK34" s="521">
        <f t="shared" si="23"/>
        <v>0</v>
      </c>
      <c r="AL34" s="521">
        <f t="shared" si="23"/>
        <v>0</v>
      </c>
      <c r="AM34" s="521">
        <f t="shared" si="23"/>
        <v>0</v>
      </c>
      <c r="AN34" s="521">
        <f t="shared" si="23"/>
        <v>0</v>
      </c>
      <c r="AO34" s="532">
        <f t="shared" si="23"/>
        <v>0</v>
      </c>
      <c r="AQ34" s="40" t="s">
        <v>178</v>
      </c>
      <c r="AR34" s="76"/>
      <c r="AS34" s="512">
        <f t="shared" si="8"/>
        <v>0</v>
      </c>
      <c r="AT34" s="521">
        <f>AD34*'11. Työtunnit'!$C$7</f>
        <v>0</v>
      </c>
      <c r="AU34" s="521">
        <f>AE34*'11. Työtunnit'!$C$7</f>
        <v>0</v>
      </c>
      <c r="AV34" s="521">
        <f>AF34*'11. Työtunnit'!$C$7</f>
        <v>0</v>
      </c>
      <c r="AW34" s="521">
        <f>AG34*'11. Työtunnit'!$C$7</f>
        <v>0</v>
      </c>
      <c r="AX34" s="521">
        <f>AH34*'11. Työtunnit'!$C$7</f>
        <v>0</v>
      </c>
      <c r="AY34" s="521">
        <f>AI34*'11. Työtunnit'!$C$7</f>
        <v>0</v>
      </c>
      <c r="AZ34" s="521">
        <f>AJ34*'11. Työtunnit'!$C$7</f>
        <v>0</v>
      </c>
      <c r="BA34" s="521">
        <f>AK34*'11. Työtunnit'!$C$7</f>
        <v>0</v>
      </c>
      <c r="BB34" s="521">
        <f>AL34*'11. Työtunnit'!$C$7</f>
        <v>0</v>
      </c>
      <c r="BC34" s="521">
        <f>AM34*'11. Työtunnit'!$C$7</f>
        <v>0</v>
      </c>
      <c r="BD34" s="521">
        <f>AN34*'11. Työtunnit'!$C$7</f>
        <v>0</v>
      </c>
      <c r="BE34" s="532">
        <f>AO34*'11. Työtunnit'!$C$7</f>
        <v>0</v>
      </c>
      <c r="BG34" s="40" t="s">
        <v>178</v>
      </c>
      <c r="BH34" s="76"/>
      <c r="BI34" s="512">
        <f t="shared" si="9"/>
        <v>0</v>
      </c>
      <c r="BJ34" s="521">
        <f>AT34*'3 Saalis'!CK35</f>
        <v>0</v>
      </c>
      <c r="BK34" s="521">
        <f>AU34*'3 Saalis'!CL35</f>
        <v>0</v>
      </c>
      <c r="BL34" s="521">
        <f>AV34*'3 Saalis'!CM35</f>
        <v>0</v>
      </c>
      <c r="BM34" s="521">
        <f>AW34*'3 Saalis'!CN35</f>
        <v>0</v>
      </c>
      <c r="BN34" s="521">
        <f>AX34*'3 Saalis'!CO35</f>
        <v>0</v>
      </c>
      <c r="BO34" s="521">
        <f>AY34*'3 Saalis'!CP35</f>
        <v>0</v>
      </c>
      <c r="BP34" s="521">
        <f>AZ34*'3 Saalis'!CQ35</f>
        <v>0</v>
      </c>
      <c r="BQ34" s="521">
        <f>BA34*'3 Saalis'!CR35</f>
        <v>0</v>
      </c>
      <c r="BR34" s="521">
        <f>BB34*'3 Saalis'!CS35</f>
        <v>0</v>
      </c>
      <c r="BS34" s="521">
        <f>BC34*'3 Saalis'!CT35</f>
        <v>0</v>
      </c>
      <c r="BT34" s="521">
        <f>BD34*'3 Saalis'!CU35</f>
        <v>0</v>
      </c>
      <c r="BU34" s="532">
        <f>BE34*'3 Saalis'!CV35</f>
        <v>0</v>
      </c>
      <c r="BW34" s="40" t="s">
        <v>178</v>
      </c>
      <c r="BX34" s="76"/>
      <c r="BY34" s="512">
        <f t="shared" si="10"/>
        <v>0</v>
      </c>
      <c r="BZ34" s="521">
        <f>AT34*'3 Saalis'!CK57</f>
        <v>0</v>
      </c>
      <c r="CA34" s="521">
        <f>AU34*'3 Saalis'!CL57</f>
        <v>0</v>
      </c>
      <c r="CB34" s="521">
        <f>AV34*'3 Saalis'!CM57</f>
        <v>0</v>
      </c>
      <c r="CC34" s="521">
        <f>AW34*'3 Saalis'!CN57</f>
        <v>0</v>
      </c>
      <c r="CD34" s="521">
        <f>AX34*'3 Saalis'!CO57</f>
        <v>0</v>
      </c>
      <c r="CE34" s="521">
        <f>AY34*'3 Saalis'!CP57</f>
        <v>0</v>
      </c>
      <c r="CF34" s="521">
        <f>AZ34*'3 Saalis'!CQ57</f>
        <v>0</v>
      </c>
      <c r="CG34" s="521">
        <f>BA34*'3 Saalis'!CR57</f>
        <v>0</v>
      </c>
      <c r="CH34" s="521">
        <f>BB34*'3 Saalis'!CS57</f>
        <v>0</v>
      </c>
      <c r="CI34" s="521">
        <f>BC34*'3 Saalis'!CT57</f>
        <v>0</v>
      </c>
      <c r="CJ34" s="521">
        <f>BD34*'3 Saalis'!CU57</f>
        <v>0</v>
      </c>
      <c r="CK34" s="532">
        <f>BE34*'3 Saalis'!CV57</f>
        <v>0</v>
      </c>
      <c r="CM34" s="40" t="s">
        <v>178</v>
      </c>
      <c r="CN34" s="76"/>
      <c r="CO34" s="512">
        <f t="shared" si="11"/>
        <v>0</v>
      </c>
      <c r="CP34" s="521">
        <f>AT34*'3 Saalis'!CK79</f>
        <v>0</v>
      </c>
      <c r="CQ34" s="521">
        <f>AU34*'3 Saalis'!CL79</f>
        <v>0</v>
      </c>
      <c r="CR34" s="521">
        <f>AV34*'3 Saalis'!CM79</f>
        <v>0</v>
      </c>
      <c r="CS34" s="521">
        <f>AW34*'3 Saalis'!CN79</f>
        <v>0</v>
      </c>
      <c r="CT34" s="521">
        <f>AX34*'3 Saalis'!CO79</f>
        <v>0</v>
      </c>
      <c r="CU34" s="521">
        <f>AY34*'3 Saalis'!CP79</f>
        <v>0</v>
      </c>
      <c r="CV34" s="521">
        <f>AZ34*'3 Saalis'!CQ79</f>
        <v>0</v>
      </c>
      <c r="CW34" s="521">
        <f>BA34*'3 Saalis'!CR79</f>
        <v>0</v>
      </c>
      <c r="CX34" s="521">
        <f>BB34*'3 Saalis'!CS79</f>
        <v>0</v>
      </c>
      <c r="CY34" s="521">
        <f>BC34*'3 Saalis'!CT79</f>
        <v>0</v>
      </c>
      <c r="CZ34" s="521">
        <f>BD34*'3 Saalis'!CU79</f>
        <v>0</v>
      </c>
      <c r="DA34" s="532">
        <f>BE34*'3 Saalis'!CV79</f>
        <v>0</v>
      </c>
      <c r="DC34" s="40" t="s">
        <v>178</v>
      </c>
      <c r="DD34" s="76"/>
      <c r="DE34" s="512">
        <f t="shared" si="12"/>
        <v>0</v>
      </c>
      <c r="DF34" s="521">
        <f>AT34*'3 Saalis'!CK101</f>
        <v>0</v>
      </c>
      <c r="DG34" s="521">
        <f>AU34*'3 Saalis'!CL101</f>
        <v>0</v>
      </c>
      <c r="DH34" s="521">
        <f>AV34*'3 Saalis'!CM101</f>
        <v>0</v>
      </c>
      <c r="DI34" s="521">
        <f>AW34*'3 Saalis'!CN101</f>
        <v>0</v>
      </c>
      <c r="DJ34" s="521">
        <f>AX34*'3 Saalis'!CO101</f>
        <v>0</v>
      </c>
      <c r="DK34" s="521">
        <f>AY34*'3 Saalis'!CP101</f>
        <v>0</v>
      </c>
      <c r="DL34" s="521">
        <f>AZ34*'3 Saalis'!CQ101</f>
        <v>0</v>
      </c>
      <c r="DM34" s="521">
        <f>BA34*'3 Saalis'!CR101</f>
        <v>0</v>
      </c>
      <c r="DN34" s="521">
        <f>BB34*'3 Saalis'!CS101</f>
        <v>0</v>
      </c>
      <c r="DO34" s="521">
        <f>BC34*'3 Saalis'!CT101</f>
        <v>0</v>
      </c>
      <c r="DP34" s="521">
        <f>BD34*'3 Saalis'!CU101</f>
        <v>0</v>
      </c>
      <c r="DQ34" s="532">
        <f>BE34*'3 Saalis'!CV101</f>
        <v>0</v>
      </c>
      <c r="DS34" s="40" t="s">
        <v>178</v>
      </c>
      <c r="DT34" s="76"/>
      <c r="DU34" s="512">
        <f t="shared" si="13"/>
        <v>0</v>
      </c>
      <c r="DV34" s="521">
        <f>AT34*'3 Saalis'!CK123</f>
        <v>0</v>
      </c>
      <c r="DW34" s="521">
        <f>AU34*'3 Saalis'!CL123</f>
        <v>0</v>
      </c>
      <c r="DX34" s="521">
        <f>AV34*'3 Saalis'!CM123</f>
        <v>0</v>
      </c>
      <c r="DY34" s="521">
        <f>AW34*'3 Saalis'!CN123</f>
        <v>0</v>
      </c>
      <c r="DZ34" s="521">
        <f>AX34*'3 Saalis'!CO123</f>
        <v>0</v>
      </c>
      <c r="EA34" s="521">
        <f>AY34*'3 Saalis'!CP123</f>
        <v>0</v>
      </c>
      <c r="EB34" s="521">
        <f>AZ34*'3 Saalis'!CQ123</f>
        <v>0</v>
      </c>
      <c r="EC34" s="521">
        <f>BA34*'3 Saalis'!CR123</f>
        <v>0</v>
      </c>
      <c r="ED34" s="521">
        <f>BB34*'3 Saalis'!CS123</f>
        <v>0</v>
      </c>
      <c r="EE34" s="521">
        <f>BC34*'3 Saalis'!CT123</f>
        <v>0</v>
      </c>
      <c r="EF34" s="521">
        <f>BD34*'3 Saalis'!CU123</f>
        <v>0</v>
      </c>
      <c r="EG34" s="532">
        <f>BE34*'3 Saalis'!CV123</f>
        <v>0</v>
      </c>
      <c r="EI34" s="40" t="s">
        <v>178</v>
      </c>
      <c r="EJ34" s="76"/>
      <c r="EK34" s="512">
        <f t="shared" si="14"/>
        <v>0</v>
      </c>
      <c r="EL34" s="521">
        <f>AT34*'3 Saalis'!CK145</f>
        <v>0</v>
      </c>
      <c r="EM34" s="521">
        <f>AU34*'3 Saalis'!CL145</f>
        <v>0</v>
      </c>
      <c r="EN34" s="521">
        <f>AV34*'3 Saalis'!CM145</f>
        <v>0</v>
      </c>
      <c r="EO34" s="521">
        <f>AW34*'3 Saalis'!CN145</f>
        <v>0</v>
      </c>
      <c r="EP34" s="521">
        <f>AX34*'3 Saalis'!CO145</f>
        <v>0</v>
      </c>
      <c r="EQ34" s="521">
        <f>AY34*'3 Saalis'!CP145</f>
        <v>0</v>
      </c>
      <c r="ER34" s="521">
        <f>AZ34*'3 Saalis'!CQ145</f>
        <v>0</v>
      </c>
      <c r="ES34" s="521">
        <f>BA34*'3 Saalis'!CR145</f>
        <v>0</v>
      </c>
      <c r="ET34" s="521">
        <f>BB34*'3 Saalis'!CS145</f>
        <v>0</v>
      </c>
      <c r="EU34" s="521">
        <f>BC34*'3 Saalis'!CT145</f>
        <v>0</v>
      </c>
      <c r="EV34" s="521">
        <f>BD34*'3 Saalis'!CU145</f>
        <v>0</v>
      </c>
      <c r="EW34" s="532">
        <f>BE34*'3 Saalis'!CV145</f>
        <v>0</v>
      </c>
    </row>
    <row r="35" spans="2:153" ht="13.5" thickBot="1" x14ac:dyDescent="0.25">
      <c r="B35" s="57" t="s">
        <v>122</v>
      </c>
      <c r="C35" s="1530">
        <v>1</v>
      </c>
      <c r="D35" s="1532">
        <v>2</v>
      </c>
      <c r="E35" s="128"/>
      <c r="F35" s="1534">
        <v>8</v>
      </c>
      <c r="G35" s="128" t="s">
        <v>1</v>
      </c>
      <c r="I35" s="15"/>
      <c r="M35" s="106"/>
      <c r="AC35" s="35"/>
      <c r="AS35" s="106"/>
      <c r="BW35"/>
      <c r="BX35"/>
      <c r="CM35"/>
      <c r="CN35"/>
      <c r="DE35" s="106"/>
      <c r="DF35" s="106"/>
      <c r="DG35" s="106"/>
      <c r="DH35" s="106"/>
      <c r="DI35" s="106"/>
      <c r="DJ35" s="106"/>
      <c r="DK35" s="106"/>
      <c r="DL35" s="106"/>
      <c r="DM35" s="106"/>
      <c r="DN35" s="106"/>
      <c r="DO35" s="106"/>
      <c r="DP35" s="106"/>
      <c r="DQ35" s="106"/>
      <c r="DU35" s="106"/>
      <c r="DV35" s="106"/>
      <c r="DW35" s="106"/>
      <c r="DX35" s="106"/>
      <c r="DY35" s="106"/>
      <c r="DZ35" s="106"/>
      <c r="EA35" s="106"/>
      <c r="EB35" s="106"/>
      <c r="EC35" s="106"/>
      <c r="ED35" s="106"/>
      <c r="EE35" s="106"/>
      <c r="EF35" s="106"/>
      <c r="EG35" s="106"/>
      <c r="EK35" s="106"/>
      <c r="EL35" s="106"/>
      <c r="EM35" s="106"/>
      <c r="EN35" s="106"/>
      <c r="EO35" s="106"/>
      <c r="EP35" s="106"/>
      <c r="EQ35" s="106"/>
      <c r="ER35" s="106"/>
      <c r="ES35" s="106"/>
      <c r="ET35" s="106"/>
      <c r="EU35" s="106"/>
      <c r="EV35" s="106"/>
      <c r="EW35" s="106"/>
    </row>
    <row r="36" spans="2:153" ht="13.5" thickBot="1" x14ac:dyDescent="0.25">
      <c r="B36" s="57" t="s">
        <v>103</v>
      </c>
      <c r="C36" s="371"/>
      <c r="D36" s="370"/>
      <c r="E36" s="128"/>
      <c r="F36" s="130"/>
      <c r="G36" s="1538">
        <v>20</v>
      </c>
      <c r="I36" s="15"/>
      <c r="K36" s="5" t="s">
        <v>90</v>
      </c>
      <c r="L36" s="36"/>
      <c r="M36" s="136" t="str">
        <f>'4 Myynti'!D107</f>
        <v>Koko</v>
      </c>
      <c r="N36" s="47">
        <f>'4 Myynti'!E107</f>
        <v>0</v>
      </c>
      <c r="O36" s="48">
        <f>'4 Myynti'!F107</f>
        <v>0</v>
      </c>
      <c r="P36" s="48">
        <f>'4 Myynti'!G107</f>
        <v>0</v>
      </c>
      <c r="Q36" s="48">
        <f>'4 Myynti'!H107</f>
        <v>0</v>
      </c>
      <c r="R36" s="48">
        <f>'4 Myynti'!I107</f>
        <v>0</v>
      </c>
      <c r="S36" s="41" t="str">
        <f>'4 Myynti'!J107</f>
        <v>Kuukausittain</v>
      </c>
      <c r="T36" s="48"/>
      <c r="U36" s="48">
        <f>'4 Myynti'!L107</f>
        <v>0</v>
      </c>
      <c r="V36" s="48">
        <f>'4 Myynti'!M107</f>
        <v>0</v>
      </c>
      <c r="W36" s="48">
        <f>'4 Myynti'!N107</f>
        <v>0</v>
      </c>
      <c r="X36" s="48">
        <f>'4 Myynti'!O107</f>
        <v>0</v>
      </c>
      <c r="Y36" s="49">
        <f>'4 Myynti'!P107</f>
        <v>0</v>
      </c>
      <c r="AA36" s="5" t="s">
        <v>90</v>
      </c>
      <c r="AB36" s="36"/>
      <c r="AC36" s="1165" t="s">
        <v>40</v>
      </c>
      <c r="AD36" s="137">
        <v>0</v>
      </c>
      <c r="AE36" s="138">
        <v>0</v>
      </c>
      <c r="AF36" s="138">
        <v>0</v>
      </c>
      <c r="AG36" s="138">
        <v>0</v>
      </c>
      <c r="AH36" s="138">
        <v>0</v>
      </c>
      <c r="AI36" s="139" t="s">
        <v>42</v>
      </c>
      <c r="AJ36" s="138"/>
      <c r="AK36" s="138">
        <v>0</v>
      </c>
      <c r="AL36" s="138">
        <v>0</v>
      </c>
      <c r="AM36" s="138">
        <v>0</v>
      </c>
      <c r="AN36" s="138">
        <v>0</v>
      </c>
      <c r="AO36" s="140">
        <v>0</v>
      </c>
      <c r="AQ36" s="5" t="s">
        <v>90</v>
      </c>
      <c r="AR36" s="36"/>
      <c r="AS36" s="136" t="s">
        <v>40</v>
      </c>
      <c r="AT36" s="137">
        <v>0</v>
      </c>
      <c r="AU36" s="138">
        <v>0</v>
      </c>
      <c r="AV36" s="138">
        <v>0</v>
      </c>
      <c r="AW36" s="138">
        <v>0</v>
      </c>
      <c r="AX36" s="138">
        <v>0</v>
      </c>
      <c r="AY36" s="139" t="s">
        <v>42</v>
      </c>
      <c r="AZ36" s="138"/>
      <c r="BA36" s="138">
        <v>0</v>
      </c>
      <c r="BB36" s="138">
        <v>0</v>
      </c>
      <c r="BC36" s="138">
        <v>0</v>
      </c>
      <c r="BD36" s="138">
        <v>0</v>
      </c>
      <c r="BE36" s="140">
        <v>0</v>
      </c>
      <c r="BG36" s="5" t="s">
        <v>90</v>
      </c>
      <c r="BH36" s="36"/>
      <c r="BI36" s="136" t="s">
        <v>40</v>
      </c>
      <c r="BJ36" s="137">
        <v>0</v>
      </c>
      <c r="BK36" s="138">
        <v>0</v>
      </c>
      <c r="BL36" s="138">
        <v>0</v>
      </c>
      <c r="BM36" s="138">
        <v>0</v>
      </c>
      <c r="BN36" s="138">
        <v>0</v>
      </c>
      <c r="BO36" s="139" t="s">
        <v>42</v>
      </c>
      <c r="BP36" s="138"/>
      <c r="BQ36" s="138">
        <v>0</v>
      </c>
      <c r="BR36" s="138">
        <v>0</v>
      </c>
      <c r="BS36" s="138">
        <v>0</v>
      </c>
      <c r="BT36" s="138">
        <v>0</v>
      </c>
      <c r="BU36" s="140">
        <v>0</v>
      </c>
      <c r="BW36" s="5" t="s">
        <v>90</v>
      </c>
      <c r="BX36" s="36"/>
      <c r="BY36" s="136" t="s">
        <v>40</v>
      </c>
      <c r="BZ36" s="137">
        <v>0</v>
      </c>
      <c r="CA36" s="138">
        <v>0</v>
      </c>
      <c r="CB36" s="138">
        <v>0</v>
      </c>
      <c r="CC36" s="138">
        <v>0</v>
      </c>
      <c r="CD36" s="138">
        <v>0</v>
      </c>
      <c r="CE36" s="139" t="s">
        <v>42</v>
      </c>
      <c r="CF36" s="138"/>
      <c r="CG36" s="138">
        <v>0</v>
      </c>
      <c r="CH36" s="138">
        <v>0</v>
      </c>
      <c r="CI36" s="138">
        <v>0</v>
      </c>
      <c r="CJ36" s="138">
        <v>0</v>
      </c>
      <c r="CK36" s="140">
        <v>0</v>
      </c>
      <c r="CM36" s="5" t="s">
        <v>90</v>
      </c>
      <c r="CN36" s="36"/>
      <c r="CO36" s="136" t="s">
        <v>40</v>
      </c>
      <c r="CP36" s="137">
        <v>0</v>
      </c>
      <c r="CQ36" s="138">
        <v>0</v>
      </c>
      <c r="CR36" s="138">
        <v>0</v>
      </c>
      <c r="CS36" s="138">
        <v>0</v>
      </c>
      <c r="CT36" s="138">
        <v>0</v>
      </c>
      <c r="CU36" s="139" t="s">
        <v>42</v>
      </c>
      <c r="CV36" s="138"/>
      <c r="CW36" s="138">
        <v>0</v>
      </c>
      <c r="CX36" s="138">
        <v>0</v>
      </c>
      <c r="CY36" s="138">
        <v>0</v>
      </c>
      <c r="CZ36" s="138">
        <v>0</v>
      </c>
      <c r="DA36" s="140">
        <v>0</v>
      </c>
      <c r="DC36" s="5" t="s">
        <v>90</v>
      </c>
      <c r="DD36" s="36"/>
      <c r="DE36" s="136" t="s">
        <v>40</v>
      </c>
      <c r="DF36" s="137">
        <v>0</v>
      </c>
      <c r="DG36" s="138">
        <v>0</v>
      </c>
      <c r="DH36" s="138">
        <v>0</v>
      </c>
      <c r="DI36" s="138">
        <v>0</v>
      </c>
      <c r="DJ36" s="138">
        <v>0</v>
      </c>
      <c r="DK36" s="139" t="s">
        <v>42</v>
      </c>
      <c r="DL36" s="138"/>
      <c r="DM36" s="138">
        <v>0</v>
      </c>
      <c r="DN36" s="138">
        <v>0</v>
      </c>
      <c r="DO36" s="138">
        <v>0</v>
      </c>
      <c r="DP36" s="138">
        <v>0</v>
      </c>
      <c r="DQ36" s="140">
        <v>0</v>
      </c>
      <c r="DS36" s="5" t="s">
        <v>90</v>
      </c>
      <c r="DT36" s="36"/>
      <c r="DU36" s="136" t="s">
        <v>40</v>
      </c>
      <c r="DV36" s="137">
        <v>0</v>
      </c>
      <c r="DW36" s="138">
        <v>0</v>
      </c>
      <c r="DX36" s="138">
        <v>0</v>
      </c>
      <c r="DY36" s="138">
        <v>0</v>
      </c>
      <c r="DZ36" s="138">
        <v>0</v>
      </c>
      <c r="EA36" s="139" t="s">
        <v>42</v>
      </c>
      <c r="EB36" s="138"/>
      <c r="EC36" s="138">
        <v>0</v>
      </c>
      <c r="ED36" s="138">
        <v>0</v>
      </c>
      <c r="EE36" s="138">
        <v>0</v>
      </c>
      <c r="EF36" s="138">
        <v>0</v>
      </c>
      <c r="EG36" s="140">
        <v>0</v>
      </c>
      <c r="EI36" s="5" t="s">
        <v>90</v>
      </c>
      <c r="EJ36" s="36"/>
      <c r="EK36" s="136" t="s">
        <v>40</v>
      </c>
      <c r="EL36" s="137">
        <v>0</v>
      </c>
      <c r="EM36" s="138">
        <v>0</v>
      </c>
      <c r="EN36" s="138">
        <v>0</v>
      </c>
      <c r="EO36" s="138">
        <v>0</v>
      </c>
      <c r="EP36" s="138">
        <v>0</v>
      </c>
      <c r="EQ36" s="139" t="s">
        <v>42</v>
      </c>
      <c r="ER36" s="138"/>
      <c r="ES36" s="138">
        <v>0</v>
      </c>
      <c r="ET36" s="138">
        <v>0</v>
      </c>
      <c r="EU36" s="138">
        <v>0</v>
      </c>
      <c r="EV36" s="138">
        <v>0</v>
      </c>
      <c r="EW36" s="140">
        <v>0</v>
      </c>
    </row>
    <row r="37" spans="2:153" ht="13.5" thickBot="1" x14ac:dyDescent="0.25">
      <c r="B37" s="57" t="s">
        <v>104</v>
      </c>
      <c r="C37" s="1530">
        <v>1</v>
      </c>
      <c r="D37" s="1532">
        <v>1</v>
      </c>
      <c r="E37" s="128"/>
      <c r="F37" s="1534">
        <v>2</v>
      </c>
      <c r="G37" s="128"/>
      <c r="I37" s="15"/>
      <c r="K37" s="57"/>
      <c r="L37" s="59"/>
      <c r="M37" s="141" t="str">
        <f>'4 Myynti'!D108</f>
        <v>kausi</v>
      </c>
      <c r="N37" s="72">
        <f>'4 Myynti'!E108</f>
        <v>1</v>
      </c>
      <c r="O37" s="70">
        <f>'4 Myynti'!F108</f>
        <v>2</v>
      </c>
      <c r="P37" s="70">
        <f>'4 Myynti'!G108</f>
        <v>3</v>
      </c>
      <c r="Q37" s="70">
        <f>'4 Myynti'!H108</f>
        <v>4</v>
      </c>
      <c r="R37" s="70">
        <f>'4 Myynti'!I108</f>
        <v>5</v>
      </c>
      <c r="S37" s="70">
        <f>'4 Myynti'!J108</f>
        <v>6</v>
      </c>
      <c r="T37" s="70">
        <f>'4 Myynti'!K108</f>
        <v>7</v>
      </c>
      <c r="U37" s="70">
        <f>'4 Myynti'!L108</f>
        <v>8</v>
      </c>
      <c r="V37" s="70">
        <f>'4 Myynti'!M108</f>
        <v>9</v>
      </c>
      <c r="W37" s="70">
        <f>'4 Myynti'!N108</f>
        <v>10</v>
      </c>
      <c r="X37" s="70">
        <f>'4 Myynti'!O108</f>
        <v>11</v>
      </c>
      <c r="Y37" s="71">
        <f>'4 Myynti'!P108</f>
        <v>12</v>
      </c>
      <c r="AA37" s="57"/>
      <c r="AB37" s="59"/>
      <c r="AC37" s="1166" t="s">
        <v>41</v>
      </c>
      <c r="AD37" s="142">
        <v>1</v>
      </c>
      <c r="AE37" s="143">
        <v>2</v>
      </c>
      <c r="AF37" s="143">
        <v>3</v>
      </c>
      <c r="AG37" s="143">
        <v>4</v>
      </c>
      <c r="AH37" s="143">
        <v>5</v>
      </c>
      <c r="AI37" s="143">
        <v>6</v>
      </c>
      <c r="AJ37" s="143">
        <v>7</v>
      </c>
      <c r="AK37" s="143">
        <v>8</v>
      </c>
      <c r="AL37" s="143">
        <v>9</v>
      </c>
      <c r="AM37" s="143">
        <v>10</v>
      </c>
      <c r="AN37" s="143">
        <v>11</v>
      </c>
      <c r="AO37" s="144">
        <v>12</v>
      </c>
      <c r="AQ37" s="57"/>
      <c r="AR37" s="59"/>
      <c r="AS37" s="141" t="s">
        <v>41</v>
      </c>
      <c r="AT37" s="142">
        <v>1</v>
      </c>
      <c r="AU37" s="143">
        <v>2</v>
      </c>
      <c r="AV37" s="143">
        <v>3</v>
      </c>
      <c r="AW37" s="143">
        <v>4</v>
      </c>
      <c r="AX37" s="143">
        <v>5</v>
      </c>
      <c r="AY37" s="143">
        <v>6</v>
      </c>
      <c r="AZ37" s="143">
        <v>7</v>
      </c>
      <c r="BA37" s="143">
        <v>8</v>
      </c>
      <c r="BB37" s="143">
        <v>9</v>
      </c>
      <c r="BC37" s="143">
        <v>10</v>
      </c>
      <c r="BD37" s="143">
        <v>11</v>
      </c>
      <c r="BE37" s="144">
        <v>12</v>
      </c>
      <c r="BG37" s="57"/>
      <c r="BH37" s="59"/>
      <c r="BI37" s="141" t="s">
        <v>41</v>
      </c>
      <c r="BJ37" s="142">
        <v>1</v>
      </c>
      <c r="BK37" s="143">
        <v>2</v>
      </c>
      <c r="BL37" s="143">
        <v>3</v>
      </c>
      <c r="BM37" s="143">
        <v>4</v>
      </c>
      <c r="BN37" s="143">
        <v>5</v>
      </c>
      <c r="BO37" s="143">
        <v>6</v>
      </c>
      <c r="BP37" s="143">
        <v>7</v>
      </c>
      <c r="BQ37" s="143">
        <v>8</v>
      </c>
      <c r="BR37" s="143">
        <v>9</v>
      </c>
      <c r="BS37" s="143">
        <v>10</v>
      </c>
      <c r="BT37" s="143">
        <v>11</v>
      </c>
      <c r="BU37" s="144">
        <v>12</v>
      </c>
      <c r="BW37" s="57"/>
      <c r="BX37" s="59"/>
      <c r="BY37" s="141" t="s">
        <v>41</v>
      </c>
      <c r="BZ37" s="142">
        <v>1</v>
      </c>
      <c r="CA37" s="143">
        <v>2</v>
      </c>
      <c r="CB37" s="143">
        <v>3</v>
      </c>
      <c r="CC37" s="143">
        <v>4</v>
      </c>
      <c r="CD37" s="143">
        <v>5</v>
      </c>
      <c r="CE37" s="143">
        <v>6</v>
      </c>
      <c r="CF37" s="143">
        <v>7</v>
      </c>
      <c r="CG37" s="143">
        <v>8</v>
      </c>
      <c r="CH37" s="143">
        <v>9</v>
      </c>
      <c r="CI37" s="143">
        <v>10</v>
      </c>
      <c r="CJ37" s="143">
        <v>11</v>
      </c>
      <c r="CK37" s="144">
        <v>12</v>
      </c>
      <c r="CM37" s="57"/>
      <c r="CN37" s="59"/>
      <c r="CO37" s="141" t="s">
        <v>41</v>
      </c>
      <c r="CP37" s="142">
        <v>1</v>
      </c>
      <c r="CQ37" s="143">
        <v>2</v>
      </c>
      <c r="CR37" s="143">
        <v>3</v>
      </c>
      <c r="CS37" s="143">
        <v>4</v>
      </c>
      <c r="CT37" s="143">
        <v>5</v>
      </c>
      <c r="CU37" s="143">
        <v>6</v>
      </c>
      <c r="CV37" s="143">
        <v>7</v>
      </c>
      <c r="CW37" s="143">
        <v>8</v>
      </c>
      <c r="CX37" s="143">
        <v>9</v>
      </c>
      <c r="CY37" s="143">
        <v>10</v>
      </c>
      <c r="CZ37" s="143">
        <v>11</v>
      </c>
      <c r="DA37" s="144">
        <v>12</v>
      </c>
      <c r="DC37" s="57"/>
      <c r="DD37" s="59"/>
      <c r="DE37" s="141" t="s">
        <v>41</v>
      </c>
      <c r="DF37" s="142">
        <v>1</v>
      </c>
      <c r="DG37" s="143">
        <v>2</v>
      </c>
      <c r="DH37" s="143">
        <v>3</v>
      </c>
      <c r="DI37" s="143">
        <v>4</v>
      </c>
      <c r="DJ37" s="143">
        <v>5</v>
      </c>
      <c r="DK37" s="143">
        <v>6</v>
      </c>
      <c r="DL37" s="143">
        <v>7</v>
      </c>
      <c r="DM37" s="143">
        <v>8</v>
      </c>
      <c r="DN37" s="143">
        <v>9</v>
      </c>
      <c r="DO37" s="143">
        <v>10</v>
      </c>
      <c r="DP37" s="143">
        <v>11</v>
      </c>
      <c r="DQ37" s="144">
        <v>12</v>
      </c>
      <c r="DS37" s="57"/>
      <c r="DT37" s="59"/>
      <c r="DU37" s="141" t="s">
        <v>41</v>
      </c>
      <c r="DV37" s="142">
        <v>1</v>
      </c>
      <c r="DW37" s="143">
        <v>2</v>
      </c>
      <c r="DX37" s="143">
        <v>3</v>
      </c>
      <c r="DY37" s="143">
        <v>4</v>
      </c>
      <c r="DZ37" s="143">
        <v>5</v>
      </c>
      <c r="EA37" s="143">
        <v>6</v>
      </c>
      <c r="EB37" s="143">
        <v>7</v>
      </c>
      <c r="EC37" s="143">
        <v>8</v>
      </c>
      <c r="ED37" s="143">
        <v>9</v>
      </c>
      <c r="EE37" s="143">
        <v>10</v>
      </c>
      <c r="EF37" s="143">
        <v>11</v>
      </c>
      <c r="EG37" s="144">
        <v>12</v>
      </c>
      <c r="EI37" s="57"/>
      <c r="EJ37" s="59"/>
      <c r="EK37" s="141" t="s">
        <v>41</v>
      </c>
      <c r="EL37" s="142">
        <v>1</v>
      </c>
      <c r="EM37" s="143">
        <v>2</v>
      </c>
      <c r="EN37" s="143">
        <v>3</v>
      </c>
      <c r="EO37" s="143">
        <v>4</v>
      </c>
      <c r="EP37" s="143">
        <v>5</v>
      </c>
      <c r="EQ37" s="143">
        <v>6</v>
      </c>
      <c r="ER37" s="143">
        <v>7</v>
      </c>
      <c r="ES37" s="143">
        <v>8</v>
      </c>
      <c r="ET37" s="143">
        <v>9</v>
      </c>
      <c r="EU37" s="143">
        <v>10</v>
      </c>
      <c r="EV37" s="143">
        <v>11</v>
      </c>
      <c r="EW37" s="144">
        <v>12</v>
      </c>
    </row>
    <row r="38" spans="2:153" x14ac:dyDescent="0.2">
      <c r="B38" s="57" t="s">
        <v>105</v>
      </c>
      <c r="C38" s="1530">
        <v>1</v>
      </c>
      <c r="D38" s="1532">
        <v>2</v>
      </c>
      <c r="E38" s="1535">
        <v>5</v>
      </c>
      <c r="F38" s="1534">
        <v>10</v>
      </c>
      <c r="G38" s="1535">
        <v>20</v>
      </c>
      <c r="I38" s="15"/>
      <c r="K38" s="5" t="s">
        <v>110</v>
      </c>
      <c r="L38" s="13"/>
      <c r="M38" s="425">
        <f>SUM(N38:Y38)</f>
        <v>0</v>
      </c>
      <c r="N38" s="499">
        <f>'4 Myynti'!E111+'4 Myynti'!E114</f>
        <v>0</v>
      </c>
      <c r="O38" s="499">
        <f>'4 Myynti'!F111+'4 Myynti'!F114</f>
        <v>0</v>
      </c>
      <c r="P38" s="499">
        <f>'4 Myynti'!G111+'4 Myynti'!G114</f>
        <v>0</v>
      </c>
      <c r="Q38" s="499">
        <f>'4 Myynti'!H111+'4 Myynti'!H114</f>
        <v>0</v>
      </c>
      <c r="R38" s="499">
        <f>'4 Myynti'!I111+'4 Myynti'!I114</f>
        <v>0</v>
      </c>
      <c r="S38" s="499">
        <f>'4 Myynti'!J111+'4 Myynti'!J114</f>
        <v>0</v>
      </c>
      <c r="T38" s="499">
        <f>'4 Myynti'!K111+'4 Myynti'!K114</f>
        <v>0</v>
      </c>
      <c r="U38" s="499">
        <f>'4 Myynti'!L111+'4 Myynti'!L114</f>
        <v>0</v>
      </c>
      <c r="V38" s="499">
        <f>'4 Myynti'!M111+'4 Myynti'!M114</f>
        <v>0</v>
      </c>
      <c r="W38" s="499">
        <f>'4 Myynti'!N111+'4 Myynti'!N114</f>
        <v>0</v>
      </c>
      <c r="X38" s="499">
        <f>'4 Myynti'!O111+'4 Myynti'!O114</f>
        <v>0</v>
      </c>
      <c r="Y38" s="499">
        <f>'4 Myynti'!P111+'4 Myynti'!P114</f>
        <v>0</v>
      </c>
      <c r="AA38" s="5" t="s">
        <v>110</v>
      </c>
      <c r="AB38" s="13"/>
      <c r="AC38" s="1390">
        <f>SUM(AD38:AO38)</f>
        <v>0</v>
      </c>
      <c r="AD38" s="499">
        <f>$C$37*N38/100*$D$37</f>
        <v>0</v>
      </c>
      <c r="AE38" s="499">
        <f t="shared" ref="AE38:AO38" si="24">$C$37*O38/100*$D$37</f>
        <v>0</v>
      </c>
      <c r="AF38" s="499">
        <f t="shared" si="24"/>
        <v>0</v>
      </c>
      <c r="AG38" s="499">
        <f t="shared" si="24"/>
        <v>0</v>
      </c>
      <c r="AH38" s="499">
        <f t="shared" si="24"/>
        <v>0</v>
      </c>
      <c r="AI38" s="499">
        <f t="shared" si="24"/>
        <v>0</v>
      </c>
      <c r="AJ38" s="499">
        <f t="shared" si="24"/>
        <v>0</v>
      </c>
      <c r="AK38" s="499">
        <f t="shared" si="24"/>
        <v>0</v>
      </c>
      <c r="AL38" s="499">
        <f t="shared" si="24"/>
        <v>0</v>
      </c>
      <c r="AM38" s="499">
        <f t="shared" si="24"/>
        <v>0</v>
      </c>
      <c r="AN38" s="499">
        <f t="shared" si="24"/>
        <v>0</v>
      </c>
      <c r="AO38" s="499">
        <f t="shared" si="24"/>
        <v>0</v>
      </c>
      <c r="AQ38" s="5" t="s">
        <v>110</v>
      </c>
      <c r="AR38" s="13"/>
      <c r="AS38" s="425">
        <f>SUM(AT38:BE38)</f>
        <v>0</v>
      </c>
      <c r="AT38" s="499">
        <f>AD38*'11. Työtunnit'!$C$7</f>
        <v>0</v>
      </c>
      <c r="AU38" s="499">
        <f>AE38*'11. Työtunnit'!$C$7</f>
        <v>0</v>
      </c>
      <c r="AV38" s="499">
        <f>AF38*'11. Työtunnit'!$C$7</f>
        <v>0</v>
      </c>
      <c r="AW38" s="499">
        <f>AG38*'11. Työtunnit'!$C$7</f>
        <v>0</v>
      </c>
      <c r="AX38" s="499">
        <f>AH38*'11. Työtunnit'!$C$7</f>
        <v>0</v>
      </c>
      <c r="AY38" s="499">
        <f>AI38*'11. Työtunnit'!$C$7</f>
        <v>0</v>
      </c>
      <c r="AZ38" s="499">
        <f>AJ38*'11. Työtunnit'!$C$7</f>
        <v>0</v>
      </c>
      <c r="BA38" s="499">
        <f>AK38*'11. Työtunnit'!$C$7</f>
        <v>0</v>
      </c>
      <c r="BB38" s="499">
        <f>AL38*'11. Työtunnit'!$C$7</f>
        <v>0</v>
      </c>
      <c r="BC38" s="499">
        <f>AM38*'11. Työtunnit'!$C$7</f>
        <v>0</v>
      </c>
      <c r="BD38" s="499">
        <f>AN38*'11. Työtunnit'!$C$7</f>
        <v>0</v>
      </c>
      <c r="BE38" s="499">
        <f>AO38*'11. Työtunnit'!$C$7</f>
        <v>0</v>
      </c>
      <c r="BG38" s="5" t="s">
        <v>110</v>
      </c>
      <c r="BH38" s="13"/>
      <c r="BI38" s="425">
        <f>SUM(BJ38:BU38)</f>
        <v>0</v>
      </c>
      <c r="BJ38" s="499">
        <f>AT38*'3 Saalis'!CK36</f>
        <v>0</v>
      </c>
      <c r="BK38" s="499">
        <f>AU38*'3 Saalis'!CL36</f>
        <v>0</v>
      </c>
      <c r="BL38" s="499">
        <f>AV38*'3 Saalis'!CM36</f>
        <v>0</v>
      </c>
      <c r="BM38" s="499">
        <f>AW38*'3 Saalis'!CN36</f>
        <v>0</v>
      </c>
      <c r="BN38" s="499">
        <f>AX38*'3 Saalis'!CO36</f>
        <v>0</v>
      </c>
      <c r="BO38" s="499">
        <f>AY38*'3 Saalis'!CP36</f>
        <v>0</v>
      </c>
      <c r="BP38" s="499">
        <f>AZ38*'3 Saalis'!CQ36</f>
        <v>0</v>
      </c>
      <c r="BQ38" s="499">
        <f>BA38*'3 Saalis'!CR36</f>
        <v>0</v>
      </c>
      <c r="BR38" s="499">
        <f>BB38*'3 Saalis'!CS36</f>
        <v>0</v>
      </c>
      <c r="BS38" s="499">
        <f>BC38*'3 Saalis'!CT36</f>
        <v>0</v>
      </c>
      <c r="BT38" s="499">
        <f>BD38*'3 Saalis'!CU36</f>
        <v>0</v>
      </c>
      <c r="BU38" s="499">
        <f>BE38*'3 Saalis'!CV36</f>
        <v>0</v>
      </c>
      <c r="BW38" s="5" t="s">
        <v>110</v>
      </c>
      <c r="BX38" s="13"/>
      <c r="BY38" s="425">
        <f>SUM(BZ38:CK38)</f>
        <v>0</v>
      </c>
      <c r="BZ38" s="499">
        <f>AT38*'3 Saalis'!CK58</f>
        <v>0</v>
      </c>
      <c r="CA38" s="499">
        <f>AU38*'3 Saalis'!CL58</f>
        <v>0</v>
      </c>
      <c r="CB38" s="499">
        <f>AV38*'3 Saalis'!CM58</f>
        <v>0</v>
      </c>
      <c r="CC38" s="499">
        <f>AW38*'3 Saalis'!CN58</f>
        <v>0</v>
      </c>
      <c r="CD38" s="499">
        <f>AX38*'3 Saalis'!CO58</f>
        <v>0</v>
      </c>
      <c r="CE38" s="499">
        <f>AY38*'3 Saalis'!CP58</f>
        <v>0</v>
      </c>
      <c r="CF38" s="499">
        <f>AZ38*'3 Saalis'!CQ58</f>
        <v>0</v>
      </c>
      <c r="CG38" s="499">
        <f>BA38*'3 Saalis'!CR58</f>
        <v>0</v>
      </c>
      <c r="CH38" s="499">
        <f>BB38*'3 Saalis'!CS58</f>
        <v>0</v>
      </c>
      <c r="CI38" s="499">
        <f>BC38*'3 Saalis'!CT58</f>
        <v>0</v>
      </c>
      <c r="CJ38" s="499">
        <f>BD38*'3 Saalis'!CU58</f>
        <v>0</v>
      </c>
      <c r="CK38" s="499">
        <f>BE38*'3 Saalis'!CV58</f>
        <v>0</v>
      </c>
      <c r="CM38" s="5" t="s">
        <v>110</v>
      </c>
      <c r="CN38" s="13"/>
      <c r="CO38" s="425">
        <f>SUM(CP38:DA38)</f>
        <v>0</v>
      </c>
      <c r="CP38" s="499">
        <f>'3 Saalis'!CK80*'5 Kalan alkukäsittely satamassa'!AT38</f>
        <v>0</v>
      </c>
      <c r="CQ38" s="499">
        <f>'3 Saalis'!CL80*'5 Kalan alkukäsittely satamassa'!AU38</f>
        <v>0</v>
      </c>
      <c r="CR38" s="499">
        <f>'3 Saalis'!CM80*'5 Kalan alkukäsittely satamassa'!AV38</f>
        <v>0</v>
      </c>
      <c r="CS38" s="499">
        <f>'3 Saalis'!CN80*'5 Kalan alkukäsittely satamassa'!AW38</f>
        <v>0</v>
      </c>
      <c r="CT38" s="499">
        <f>'3 Saalis'!CO80*'5 Kalan alkukäsittely satamassa'!AX38</f>
        <v>0</v>
      </c>
      <c r="CU38" s="499">
        <f>'3 Saalis'!CP80*'5 Kalan alkukäsittely satamassa'!AY38</f>
        <v>0</v>
      </c>
      <c r="CV38" s="499">
        <f>'3 Saalis'!CQ80*'5 Kalan alkukäsittely satamassa'!AZ38</f>
        <v>0</v>
      </c>
      <c r="CW38" s="499">
        <f>'3 Saalis'!CR80*'5 Kalan alkukäsittely satamassa'!BA38</f>
        <v>0</v>
      </c>
      <c r="CX38" s="499">
        <f>'3 Saalis'!CS80*'5 Kalan alkukäsittely satamassa'!BB38</f>
        <v>0</v>
      </c>
      <c r="CY38" s="499">
        <f>'3 Saalis'!CT80*'5 Kalan alkukäsittely satamassa'!BC38</f>
        <v>0</v>
      </c>
      <c r="CZ38" s="499">
        <f>'3 Saalis'!CU80*'5 Kalan alkukäsittely satamassa'!BD38</f>
        <v>0</v>
      </c>
      <c r="DA38" s="499">
        <f>'3 Saalis'!CV80*'5 Kalan alkukäsittely satamassa'!BE38</f>
        <v>0</v>
      </c>
      <c r="DC38" s="5" t="s">
        <v>110</v>
      </c>
      <c r="DD38" s="13"/>
      <c r="DE38" s="425">
        <f>SUM(DF38:DQ38)</f>
        <v>0</v>
      </c>
      <c r="DF38" s="499">
        <f>'3 Saalis'!CK102*'5 Kalan alkukäsittely satamassa'!AT38</f>
        <v>0</v>
      </c>
      <c r="DG38" s="499">
        <f>'3 Saalis'!CL102*'5 Kalan alkukäsittely satamassa'!AU38</f>
        <v>0</v>
      </c>
      <c r="DH38" s="499">
        <f>'3 Saalis'!CM102*'5 Kalan alkukäsittely satamassa'!AV38</f>
        <v>0</v>
      </c>
      <c r="DI38" s="499">
        <f>'3 Saalis'!CN102*'5 Kalan alkukäsittely satamassa'!AW38</f>
        <v>0</v>
      </c>
      <c r="DJ38" s="499">
        <f>'3 Saalis'!CO102*'5 Kalan alkukäsittely satamassa'!AX38</f>
        <v>0</v>
      </c>
      <c r="DK38" s="499">
        <f>'3 Saalis'!CP102*'5 Kalan alkukäsittely satamassa'!AY38</f>
        <v>0</v>
      </c>
      <c r="DL38" s="499">
        <f>'3 Saalis'!CQ102*'5 Kalan alkukäsittely satamassa'!AZ38</f>
        <v>0</v>
      </c>
      <c r="DM38" s="499">
        <f>'3 Saalis'!CR102*'5 Kalan alkukäsittely satamassa'!BA38</f>
        <v>0</v>
      </c>
      <c r="DN38" s="499">
        <f>'3 Saalis'!CS102*'5 Kalan alkukäsittely satamassa'!BB38</f>
        <v>0</v>
      </c>
      <c r="DO38" s="499">
        <f>'3 Saalis'!CT102*'5 Kalan alkukäsittely satamassa'!BC38</f>
        <v>0</v>
      </c>
      <c r="DP38" s="499">
        <f>'3 Saalis'!CU102*'5 Kalan alkukäsittely satamassa'!BD38</f>
        <v>0</v>
      </c>
      <c r="DQ38" s="499">
        <f>'3 Saalis'!CV102*'5 Kalan alkukäsittely satamassa'!BE38</f>
        <v>0</v>
      </c>
      <c r="DS38" s="5" t="s">
        <v>110</v>
      </c>
      <c r="DT38" s="13"/>
      <c r="DU38" s="425">
        <f>SUM(DV38:EG38)</f>
        <v>0</v>
      </c>
      <c r="DV38" s="499">
        <f>AT38*'3 Saalis'!CK124</f>
        <v>0</v>
      </c>
      <c r="DW38" s="499">
        <f>AU38*'3 Saalis'!CL124</f>
        <v>0</v>
      </c>
      <c r="DX38" s="499">
        <f>AV38*'3 Saalis'!CM124</f>
        <v>0</v>
      </c>
      <c r="DY38" s="499">
        <f>AW38*'3 Saalis'!CN124</f>
        <v>0</v>
      </c>
      <c r="DZ38" s="499">
        <f>AX38*'3 Saalis'!CO124</f>
        <v>0</v>
      </c>
      <c r="EA38" s="499">
        <f>AY38*'3 Saalis'!CP124</f>
        <v>0</v>
      </c>
      <c r="EB38" s="499">
        <f>AZ38*'3 Saalis'!CQ124</f>
        <v>0</v>
      </c>
      <c r="EC38" s="499">
        <f>BA38*'3 Saalis'!CR124</f>
        <v>0</v>
      </c>
      <c r="ED38" s="499">
        <f>BB38*'3 Saalis'!CS124</f>
        <v>0</v>
      </c>
      <c r="EE38" s="499">
        <f>BC38*'3 Saalis'!CT124</f>
        <v>0</v>
      </c>
      <c r="EF38" s="499">
        <f>BD38*'3 Saalis'!CU124</f>
        <v>0</v>
      </c>
      <c r="EG38" s="499">
        <f>BE38*'3 Saalis'!CV124</f>
        <v>0</v>
      </c>
      <c r="EI38" s="5" t="s">
        <v>110</v>
      </c>
      <c r="EJ38" s="13"/>
      <c r="EK38" s="425">
        <f>SUM(EL38:EW38)</f>
        <v>0</v>
      </c>
      <c r="EL38" s="499">
        <f>AT38*'3 Saalis'!CK146</f>
        <v>0</v>
      </c>
      <c r="EM38" s="499">
        <f>AU38*'3 Saalis'!CL146</f>
        <v>0</v>
      </c>
      <c r="EN38" s="499">
        <f>AV38*'3 Saalis'!CM146</f>
        <v>0</v>
      </c>
      <c r="EO38" s="499">
        <f>AW38*'3 Saalis'!CN146</f>
        <v>0</v>
      </c>
      <c r="EP38" s="499">
        <f>AX38*'3 Saalis'!CO146</f>
        <v>0</v>
      </c>
      <c r="EQ38" s="499">
        <f>AY38*'3 Saalis'!CP146</f>
        <v>0</v>
      </c>
      <c r="ER38" s="499">
        <f>AZ38*'3 Saalis'!CQ146</f>
        <v>0</v>
      </c>
      <c r="ES38" s="499">
        <f>BA38*'3 Saalis'!CR146</f>
        <v>0</v>
      </c>
      <c r="ET38" s="499">
        <f>BB38*'3 Saalis'!CS146</f>
        <v>0</v>
      </c>
      <c r="EU38" s="499">
        <f>BC38*'3 Saalis'!CT146</f>
        <v>0</v>
      </c>
      <c r="EV38" s="499">
        <f>BD38*'3 Saalis'!CU146</f>
        <v>0</v>
      </c>
      <c r="EW38" s="499">
        <f>BE38*'3 Saalis'!CV146</f>
        <v>0</v>
      </c>
    </row>
    <row r="39" spans="2:153" ht="13.5" thickBot="1" x14ac:dyDescent="0.25">
      <c r="B39" s="57" t="s">
        <v>106</v>
      </c>
      <c r="C39" s="1530">
        <v>1</v>
      </c>
      <c r="D39" s="1532">
        <v>0.5</v>
      </c>
      <c r="E39" s="128"/>
      <c r="F39" s="1534">
        <v>0.8</v>
      </c>
      <c r="G39" s="128"/>
      <c r="I39" s="15"/>
      <c r="K39" s="40" t="s">
        <v>111</v>
      </c>
      <c r="L39" s="76"/>
      <c r="M39" s="512">
        <f>SUM(N39:Y39)</f>
        <v>0</v>
      </c>
      <c r="N39" s="521">
        <f>'4 Myynti'!E112+'4 Myynti'!E115</f>
        <v>0</v>
      </c>
      <c r="O39" s="531">
        <f>'4 Myynti'!F112+'4 Myynti'!F115</f>
        <v>0</v>
      </c>
      <c r="P39" s="531">
        <f>'4 Myynti'!G112+'4 Myynti'!G115</f>
        <v>0</v>
      </c>
      <c r="Q39" s="531">
        <f>'4 Myynti'!H112+'4 Myynti'!H115</f>
        <v>0</v>
      </c>
      <c r="R39" s="531">
        <f>'4 Myynti'!I112+'4 Myynti'!I115</f>
        <v>0</v>
      </c>
      <c r="S39" s="531">
        <f>'4 Myynti'!J112+'4 Myynti'!J115</f>
        <v>0</v>
      </c>
      <c r="T39" s="531">
        <f>'4 Myynti'!K112+'4 Myynti'!K115</f>
        <v>0</v>
      </c>
      <c r="U39" s="531">
        <f>'4 Myynti'!L112+'4 Myynti'!L115</f>
        <v>0</v>
      </c>
      <c r="V39" s="531">
        <f>'4 Myynti'!M112+'4 Myynti'!M115</f>
        <v>0</v>
      </c>
      <c r="W39" s="531">
        <f>'4 Myynti'!N112+'4 Myynti'!N115</f>
        <v>0</v>
      </c>
      <c r="X39" s="531">
        <f>'4 Myynti'!O112+'4 Myynti'!O115</f>
        <v>0</v>
      </c>
      <c r="Y39" s="532">
        <f>'4 Myynti'!P112+'4 Myynti'!P115</f>
        <v>0</v>
      </c>
      <c r="AA39" s="40" t="s">
        <v>111</v>
      </c>
      <c r="AB39" s="76"/>
      <c r="AC39" s="1391">
        <f>SUM(AD39:AO39)</f>
        <v>0</v>
      </c>
      <c r="AD39" s="521">
        <f t="shared" ref="AD39:AO39" si="25">N39/100*$F$37</f>
        <v>0</v>
      </c>
      <c r="AE39" s="531">
        <f t="shared" si="25"/>
        <v>0</v>
      </c>
      <c r="AF39" s="531">
        <f t="shared" si="25"/>
        <v>0</v>
      </c>
      <c r="AG39" s="531">
        <f t="shared" si="25"/>
        <v>0</v>
      </c>
      <c r="AH39" s="531">
        <f t="shared" si="25"/>
        <v>0</v>
      </c>
      <c r="AI39" s="531">
        <f t="shared" si="25"/>
        <v>0</v>
      </c>
      <c r="AJ39" s="531">
        <f t="shared" si="25"/>
        <v>0</v>
      </c>
      <c r="AK39" s="531">
        <f t="shared" si="25"/>
        <v>0</v>
      </c>
      <c r="AL39" s="531">
        <f t="shared" si="25"/>
        <v>0</v>
      </c>
      <c r="AM39" s="531">
        <f t="shared" si="25"/>
        <v>0</v>
      </c>
      <c r="AN39" s="531">
        <f t="shared" si="25"/>
        <v>0</v>
      </c>
      <c r="AO39" s="532">
        <f t="shared" si="25"/>
        <v>0</v>
      </c>
      <c r="AQ39" s="40" t="s">
        <v>111</v>
      </c>
      <c r="AR39" s="76"/>
      <c r="AS39" s="512">
        <f>SUM(AT39:BE39)</f>
        <v>0</v>
      </c>
      <c r="AT39" s="521">
        <f>AD39*'11. Työtunnit'!$C$7</f>
        <v>0</v>
      </c>
      <c r="AU39" s="531">
        <f>AE39*'11. Työtunnit'!$C$7</f>
        <v>0</v>
      </c>
      <c r="AV39" s="531">
        <f>AF39*'11. Työtunnit'!$C$7</f>
        <v>0</v>
      </c>
      <c r="AW39" s="531">
        <f>AG39*'11. Työtunnit'!$C$7</f>
        <v>0</v>
      </c>
      <c r="AX39" s="531">
        <f>AH39*'11. Työtunnit'!$C$7</f>
        <v>0</v>
      </c>
      <c r="AY39" s="531">
        <f>AI39*'11. Työtunnit'!$C$7</f>
        <v>0</v>
      </c>
      <c r="AZ39" s="531">
        <f>AJ39*'11. Työtunnit'!$C$7</f>
        <v>0</v>
      </c>
      <c r="BA39" s="531">
        <f>AK39*'11. Työtunnit'!$C$7</f>
        <v>0</v>
      </c>
      <c r="BB39" s="531">
        <f>AL39*'11. Työtunnit'!$C$7</f>
        <v>0</v>
      </c>
      <c r="BC39" s="531">
        <f>AM39*'11. Työtunnit'!$C$7</f>
        <v>0</v>
      </c>
      <c r="BD39" s="531">
        <f>AN39*'11. Työtunnit'!$C$7</f>
        <v>0</v>
      </c>
      <c r="BE39" s="532">
        <f>AO39*'11. Työtunnit'!$C$7</f>
        <v>0</v>
      </c>
      <c r="BG39" s="40" t="s">
        <v>111</v>
      </c>
      <c r="BH39" s="76"/>
      <c r="BI39" s="512">
        <f>SUM(BJ39:BU39)</f>
        <v>0</v>
      </c>
      <c r="BJ39" s="521">
        <f>AT39*'3 Saalis'!CK36</f>
        <v>0</v>
      </c>
      <c r="BK39" s="531">
        <f>AU39*'3 Saalis'!CL36</f>
        <v>0</v>
      </c>
      <c r="BL39" s="531">
        <f>AV39*'3 Saalis'!CM36</f>
        <v>0</v>
      </c>
      <c r="BM39" s="531">
        <f>AW39*'3 Saalis'!CN36</f>
        <v>0</v>
      </c>
      <c r="BN39" s="531">
        <f>AX39*'3 Saalis'!CO36</f>
        <v>0</v>
      </c>
      <c r="BO39" s="531">
        <f>AY39*'3 Saalis'!CP36</f>
        <v>0</v>
      </c>
      <c r="BP39" s="531">
        <f>AZ39*'3 Saalis'!CQ36</f>
        <v>0</v>
      </c>
      <c r="BQ39" s="531">
        <f>BA39*'3 Saalis'!CR36</f>
        <v>0</v>
      </c>
      <c r="BR39" s="531">
        <f>BB39*'3 Saalis'!CS36</f>
        <v>0</v>
      </c>
      <c r="BS39" s="531">
        <f>BC39*'3 Saalis'!CT36</f>
        <v>0</v>
      </c>
      <c r="BT39" s="531">
        <f>BD39*'3 Saalis'!CU36</f>
        <v>0</v>
      </c>
      <c r="BU39" s="532">
        <f>BE39*'3 Saalis'!CV36</f>
        <v>0</v>
      </c>
      <c r="BW39" s="40" t="s">
        <v>111</v>
      </c>
      <c r="BX39" s="76"/>
      <c r="BY39" s="512">
        <f>SUM(BZ39:CK39)</f>
        <v>0</v>
      </c>
      <c r="BZ39" s="521">
        <f>AT39*'3 Saalis'!CK58</f>
        <v>0</v>
      </c>
      <c r="CA39" s="531">
        <f>AU39*'3 Saalis'!CL58</f>
        <v>0</v>
      </c>
      <c r="CB39" s="531">
        <f>AV39*'3 Saalis'!CM58</f>
        <v>0</v>
      </c>
      <c r="CC39" s="531">
        <f>AW39*'3 Saalis'!CN58</f>
        <v>0</v>
      </c>
      <c r="CD39" s="531">
        <f>AX39*'3 Saalis'!CO58</f>
        <v>0</v>
      </c>
      <c r="CE39" s="531">
        <f>AY39*'3 Saalis'!CP58</f>
        <v>0</v>
      </c>
      <c r="CF39" s="531">
        <f>AZ39*'3 Saalis'!CQ58</f>
        <v>0</v>
      </c>
      <c r="CG39" s="531">
        <f>BA39*'3 Saalis'!CR58</f>
        <v>0</v>
      </c>
      <c r="CH39" s="531">
        <f>BB39*'3 Saalis'!CS58</f>
        <v>0</v>
      </c>
      <c r="CI39" s="531">
        <f>BC39*'3 Saalis'!CT58</f>
        <v>0</v>
      </c>
      <c r="CJ39" s="531">
        <f>BD39*'3 Saalis'!CU58</f>
        <v>0</v>
      </c>
      <c r="CK39" s="532">
        <f>BE39*'3 Saalis'!CV58</f>
        <v>0</v>
      </c>
      <c r="CM39" s="40" t="s">
        <v>111</v>
      </c>
      <c r="CN39" s="76"/>
      <c r="CO39" s="512">
        <f>SUM(CP39:DA39)</f>
        <v>0</v>
      </c>
      <c r="CP39" s="521">
        <f>'3 Saalis'!CK80*'5 Kalan alkukäsittely satamassa'!AT39</f>
        <v>0</v>
      </c>
      <c r="CQ39" s="531">
        <f>'3 Saalis'!CL80*'5 Kalan alkukäsittely satamassa'!AU39</f>
        <v>0</v>
      </c>
      <c r="CR39" s="531">
        <f>'3 Saalis'!CM80*'5 Kalan alkukäsittely satamassa'!AV39</f>
        <v>0</v>
      </c>
      <c r="CS39" s="531">
        <f>'3 Saalis'!CN80*'5 Kalan alkukäsittely satamassa'!AW39</f>
        <v>0</v>
      </c>
      <c r="CT39" s="531">
        <f>'3 Saalis'!CO80*'5 Kalan alkukäsittely satamassa'!AX39</f>
        <v>0</v>
      </c>
      <c r="CU39" s="531">
        <f>'3 Saalis'!CP80*'5 Kalan alkukäsittely satamassa'!AY39</f>
        <v>0</v>
      </c>
      <c r="CV39" s="531">
        <f>'3 Saalis'!CQ80*'5 Kalan alkukäsittely satamassa'!AZ39</f>
        <v>0</v>
      </c>
      <c r="CW39" s="531">
        <f>'3 Saalis'!CR80*'5 Kalan alkukäsittely satamassa'!BA39</f>
        <v>0</v>
      </c>
      <c r="CX39" s="531">
        <f>'3 Saalis'!CS80*'5 Kalan alkukäsittely satamassa'!BB39</f>
        <v>0</v>
      </c>
      <c r="CY39" s="531">
        <f>'3 Saalis'!CT80*'5 Kalan alkukäsittely satamassa'!BC39</f>
        <v>0</v>
      </c>
      <c r="CZ39" s="531">
        <f>'3 Saalis'!CU80*'5 Kalan alkukäsittely satamassa'!BD39</f>
        <v>0</v>
      </c>
      <c r="DA39" s="532">
        <f>'3 Saalis'!CV80*'5 Kalan alkukäsittely satamassa'!BE39</f>
        <v>0</v>
      </c>
      <c r="DC39" s="40" t="s">
        <v>111</v>
      </c>
      <c r="DD39" s="76"/>
      <c r="DE39" s="512">
        <f>SUM(DF39:DQ39)</f>
        <v>0</v>
      </c>
      <c r="DF39" s="521">
        <f>'3 Saalis'!CK102*'5 Kalan alkukäsittely satamassa'!AT39</f>
        <v>0</v>
      </c>
      <c r="DG39" s="531">
        <f>'3 Saalis'!CL102*'5 Kalan alkukäsittely satamassa'!AU39</f>
        <v>0</v>
      </c>
      <c r="DH39" s="531">
        <f>'3 Saalis'!CM102*'5 Kalan alkukäsittely satamassa'!AV39</f>
        <v>0</v>
      </c>
      <c r="DI39" s="531">
        <f>'3 Saalis'!CN102*'5 Kalan alkukäsittely satamassa'!AW39</f>
        <v>0</v>
      </c>
      <c r="DJ39" s="531">
        <f>'3 Saalis'!CO102*'5 Kalan alkukäsittely satamassa'!AX39</f>
        <v>0</v>
      </c>
      <c r="DK39" s="531">
        <f>'3 Saalis'!CP102*'5 Kalan alkukäsittely satamassa'!AY39</f>
        <v>0</v>
      </c>
      <c r="DL39" s="531">
        <f>'3 Saalis'!CQ102*'5 Kalan alkukäsittely satamassa'!AZ39</f>
        <v>0</v>
      </c>
      <c r="DM39" s="531">
        <f>'3 Saalis'!CR102*'5 Kalan alkukäsittely satamassa'!BA39</f>
        <v>0</v>
      </c>
      <c r="DN39" s="531">
        <f>'3 Saalis'!CS102*'5 Kalan alkukäsittely satamassa'!BB39</f>
        <v>0</v>
      </c>
      <c r="DO39" s="531">
        <f>'3 Saalis'!CT102*'5 Kalan alkukäsittely satamassa'!BC39</f>
        <v>0</v>
      </c>
      <c r="DP39" s="531">
        <f>'3 Saalis'!CU102*'5 Kalan alkukäsittely satamassa'!BD39</f>
        <v>0</v>
      </c>
      <c r="DQ39" s="532">
        <f>'3 Saalis'!CV102*'5 Kalan alkukäsittely satamassa'!BE39</f>
        <v>0</v>
      </c>
      <c r="DS39" s="40" t="s">
        <v>111</v>
      </c>
      <c r="DT39" s="76"/>
      <c r="DU39" s="512">
        <f>SUM(DV39:EG39)</f>
        <v>0</v>
      </c>
      <c r="DV39" s="521">
        <f>AT39*'3 Saalis'!CK124</f>
        <v>0</v>
      </c>
      <c r="DW39" s="531">
        <f>AU39*'3 Saalis'!CL124</f>
        <v>0</v>
      </c>
      <c r="DX39" s="531">
        <f>AV39*'3 Saalis'!CM124</f>
        <v>0</v>
      </c>
      <c r="DY39" s="531">
        <f>AW39*'3 Saalis'!CN124</f>
        <v>0</v>
      </c>
      <c r="DZ39" s="531">
        <f>AX39*'3 Saalis'!CO124</f>
        <v>0</v>
      </c>
      <c r="EA39" s="531">
        <f>AY39*'3 Saalis'!CP124</f>
        <v>0</v>
      </c>
      <c r="EB39" s="531">
        <f>AZ39*'3 Saalis'!CQ124</f>
        <v>0</v>
      </c>
      <c r="EC39" s="531">
        <f>BA39*'3 Saalis'!CR124</f>
        <v>0</v>
      </c>
      <c r="ED39" s="531">
        <f>BB39*'3 Saalis'!CS124</f>
        <v>0</v>
      </c>
      <c r="EE39" s="531">
        <f>BC39*'3 Saalis'!CT124</f>
        <v>0</v>
      </c>
      <c r="EF39" s="531">
        <f>BD39*'3 Saalis'!CU124</f>
        <v>0</v>
      </c>
      <c r="EG39" s="532">
        <f>BE39*'3 Saalis'!CV124</f>
        <v>0</v>
      </c>
      <c r="EI39" s="40" t="s">
        <v>111</v>
      </c>
      <c r="EJ39" s="76"/>
      <c r="EK39" s="512">
        <f>SUM(EL39:EW39)</f>
        <v>0</v>
      </c>
      <c r="EL39" s="521">
        <f>AT39*'3 Saalis'!CK146</f>
        <v>0</v>
      </c>
      <c r="EM39" s="531">
        <f>AU39*'3 Saalis'!CL146</f>
        <v>0</v>
      </c>
      <c r="EN39" s="531">
        <f>AV39*'3 Saalis'!CM146</f>
        <v>0</v>
      </c>
      <c r="EO39" s="531">
        <f>AW39*'3 Saalis'!CN146</f>
        <v>0</v>
      </c>
      <c r="EP39" s="531">
        <f>AX39*'3 Saalis'!CO146</f>
        <v>0</v>
      </c>
      <c r="EQ39" s="531">
        <f>AY39*'3 Saalis'!CP146</f>
        <v>0</v>
      </c>
      <c r="ER39" s="531">
        <f>AZ39*'3 Saalis'!CQ146</f>
        <v>0</v>
      </c>
      <c r="ES39" s="531">
        <f>BA39*'3 Saalis'!CR146</f>
        <v>0</v>
      </c>
      <c r="ET39" s="531">
        <f>BB39*'3 Saalis'!CS146</f>
        <v>0</v>
      </c>
      <c r="EU39" s="531">
        <f>BC39*'3 Saalis'!CT146</f>
        <v>0</v>
      </c>
      <c r="EV39" s="531">
        <f>BD39*'3 Saalis'!CU146</f>
        <v>0</v>
      </c>
      <c r="EW39" s="532">
        <f>BE39*'3 Saalis'!CV146</f>
        <v>0</v>
      </c>
    </row>
    <row r="40" spans="2:153" ht="13.5" thickBot="1" x14ac:dyDescent="0.25">
      <c r="B40" s="57" t="s">
        <v>37</v>
      </c>
      <c r="C40" s="1530">
        <v>1</v>
      </c>
      <c r="D40" s="1532">
        <v>2</v>
      </c>
      <c r="E40" s="128"/>
      <c r="F40" s="1534">
        <v>7</v>
      </c>
      <c r="G40" s="128"/>
      <c r="I40" s="15"/>
      <c r="M40" s="106"/>
      <c r="AC40" s="35"/>
      <c r="AS40" s="106"/>
      <c r="BW40"/>
      <c r="BX40"/>
      <c r="CM40"/>
      <c r="CN40"/>
      <c r="DE40" s="106"/>
      <c r="DF40" s="106"/>
      <c r="DG40" s="106"/>
      <c r="DH40" s="106"/>
      <c r="DI40" s="106"/>
      <c r="DJ40" s="106"/>
      <c r="DK40" s="106"/>
      <c r="DL40" s="106"/>
      <c r="DM40" s="106"/>
      <c r="DN40" s="106"/>
      <c r="DO40" s="106"/>
      <c r="DP40" s="106"/>
      <c r="DQ40" s="106"/>
      <c r="DU40" s="106"/>
      <c r="DV40" s="106"/>
      <c r="DW40" s="106"/>
      <c r="DX40" s="106"/>
      <c r="DY40" s="106"/>
      <c r="DZ40" s="106"/>
      <c r="EA40" s="106"/>
      <c r="EB40" s="106"/>
      <c r="EC40" s="106"/>
      <c r="ED40" s="106"/>
      <c r="EE40" s="106"/>
      <c r="EF40" s="106"/>
      <c r="EG40" s="106"/>
      <c r="EK40" s="106"/>
      <c r="EL40" s="106"/>
      <c r="EM40" s="106"/>
      <c r="EN40" s="106"/>
      <c r="EO40" s="106"/>
      <c r="EP40" s="106"/>
      <c r="EQ40" s="106"/>
      <c r="ER40" s="106"/>
      <c r="ES40" s="106"/>
      <c r="ET40" s="106"/>
      <c r="EU40" s="106"/>
      <c r="EV40" s="106"/>
      <c r="EW40" s="106"/>
    </row>
    <row r="41" spans="2:153" ht="13.5" thickBot="1" x14ac:dyDescent="0.25">
      <c r="B41" s="57" t="s">
        <v>36</v>
      </c>
      <c r="C41" s="1530">
        <v>1</v>
      </c>
      <c r="D41" s="1532">
        <v>2</v>
      </c>
      <c r="E41" s="128"/>
      <c r="F41" s="1534">
        <v>8</v>
      </c>
      <c r="G41" s="128"/>
      <c r="I41" s="15"/>
      <c r="K41" s="5" t="s">
        <v>92</v>
      </c>
      <c r="L41" s="36"/>
      <c r="M41" s="136" t="str">
        <f>'4 Myynti'!D119</f>
        <v>Koko</v>
      </c>
      <c r="N41" s="47">
        <f>'4 Myynti'!E119</f>
        <v>0</v>
      </c>
      <c r="O41" s="48">
        <f>'4 Myynti'!F119</f>
        <v>0</v>
      </c>
      <c r="P41" s="48">
        <f>'4 Myynti'!G119</f>
        <v>0</v>
      </c>
      <c r="Q41" s="48">
        <f>'4 Myynti'!H119</f>
        <v>0</v>
      </c>
      <c r="R41" s="48">
        <f>'4 Myynti'!I119</f>
        <v>0</v>
      </c>
      <c r="S41" s="41" t="str">
        <f>'4 Myynti'!J119</f>
        <v>Kuukausittain</v>
      </c>
      <c r="T41" s="48"/>
      <c r="U41" s="48">
        <f>'4 Myynti'!L119</f>
        <v>0</v>
      </c>
      <c r="V41" s="48">
        <f>'4 Myynti'!M119</f>
        <v>0</v>
      </c>
      <c r="W41" s="48">
        <f>'4 Myynti'!N119</f>
        <v>0</v>
      </c>
      <c r="X41" s="48">
        <f>'4 Myynti'!O119</f>
        <v>0</v>
      </c>
      <c r="Y41" s="49">
        <f>'4 Myynti'!P119</f>
        <v>0</v>
      </c>
      <c r="AA41" s="5" t="s">
        <v>92</v>
      </c>
      <c r="AB41" s="36"/>
      <c r="AC41" s="1165" t="s">
        <v>40</v>
      </c>
      <c r="AD41" s="137">
        <v>0</v>
      </c>
      <c r="AE41" s="138">
        <v>0</v>
      </c>
      <c r="AF41" s="138">
        <v>0</v>
      </c>
      <c r="AG41" s="138">
        <v>0</v>
      </c>
      <c r="AH41" s="138">
        <v>0</v>
      </c>
      <c r="AI41" s="139" t="s">
        <v>42</v>
      </c>
      <c r="AJ41" s="138"/>
      <c r="AK41" s="138">
        <v>0</v>
      </c>
      <c r="AL41" s="138">
        <v>0</v>
      </c>
      <c r="AM41" s="138">
        <v>0</v>
      </c>
      <c r="AN41" s="138">
        <v>0</v>
      </c>
      <c r="AO41" s="140">
        <v>0</v>
      </c>
      <c r="AQ41" s="5" t="s">
        <v>92</v>
      </c>
      <c r="AR41" s="36"/>
      <c r="AS41" s="136" t="s">
        <v>40</v>
      </c>
      <c r="AT41" s="137">
        <v>0</v>
      </c>
      <c r="AU41" s="138">
        <v>0</v>
      </c>
      <c r="AV41" s="138">
        <v>0</v>
      </c>
      <c r="AW41" s="138">
        <v>0</v>
      </c>
      <c r="AX41" s="138">
        <v>0</v>
      </c>
      <c r="AY41" s="139" t="s">
        <v>42</v>
      </c>
      <c r="AZ41" s="138"/>
      <c r="BA41" s="138">
        <v>0</v>
      </c>
      <c r="BB41" s="138">
        <v>0</v>
      </c>
      <c r="BC41" s="138">
        <v>0</v>
      </c>
      <c r="BD41" s="138">
        <v>0</v>
      </c>
      <c r="BE41" s="140">
        <v>0</v>
      </c>
      <c r="BG41" s="5" t="s">
        <v>92</v>
      </c>
      <c r="BH41" s="36"/>
      <c r="BI41" s="136" t="s">
        <v>40</v>
      </c>
      <c r="BJ41" s="137">
        <v>0</v>
      </c>
      <c r="BK41" s="138">
        <v>0</v>
      </c>
      <c r="BL41" s="138">
        <v>0</v>
      </c>
      <c r="BM41" s="138">
        <v>0</v>
      </c>
      <c r="BN41" s="138">
        <v>0</v>
      </c>
      <c r="BO41" s="139" t="s">
        <v>42</v>
      </c>
      <c r="BP41" s="138"/>
      <c r="BQ41" s="138">
        <v>0</v>
      </c>
      <c r="BR41" s="138">
        <v>0</v>
      </c>
      <c r="BS41" s="138">
        <v>0</v>
      </c>
      <c r="BT41" s="138">
        <v>0</v>
      </c>
      <c r="BU41" s="140">
        <v>0</v>
      </c>
      <c r="BW41" s="5" t="s">
        <v>92</v>
      </c>
      <c r="BX41" s="36"/>
      <c r="BY41" s="136" t="s">
        <v>40</v>
      </c>
      <c r="BZ41" s="137">
        <v>0</v>
      </c>
      <c r="CA41" s="138">
        <v>0</v>
      </c>
      <c r="CB41" s="138">
        <v>0</v>
      </c>
      <c r="CC41" s="138">
        <v>0</v>
      </c>
      <c r="CD41" s="138">
        <v>0</v>
      </c>
      <c r="CE41" s="139" t="s">
        <v>42</v>
      </c>
      <c r="CF41" s="138"/>
      <c r="CG41" s="138">
        <v>0</v>
      </c>
      <c r="CH41" s="138">
        <v>0</v>
      </c>
      <c r="CI41" s="138">
        <v>0</v>
      </c>
      <c r="CJ41" s="138">
        <v>0</v>
      </c>
      <c r="CK41" s="140">
        <v>0</v>
      </c>
      <c r="CM41" s="5" t="s">
        <v>92</v>
      </c>
      <c r="CN41" s="36"/>
      <c r="CO41" s="136" t="s">
        <v>40</v>
      </c>
      <c r="CP41" s="137">
        <v>0</v>
      </c>
      <c r="CQ41" s="138">
        <v>0</v>
      </c>
      <c r="CR41" s="138">
        <v>0</v>
      </c>
      <c r="CS41" s="138">
        <v>0</v>
      </c>
      <c r="CT41" s="138">
        <v>0</v>
      </c>
      <c r="CU41" s="139" t="s">
        <v>42</v>
      </c>
      <c r="CV41" s="138"/>
      <c r="CW41" s="138">
        <v>0</v>
      </c>
      <c r="CX41" s="138">
        <v>0</v>
      </c>
      <c r="CY41" s="138">
        <v>0</v>
      </c>
      <c r="CZ41" s="138">
        <v>0</v>
      </c>
      <c r="DA41" s="140">
        <v>0</v>
      </c>
      <c r="DC41" s="5" t="s">
        <v>92</v>
      </c>
      <c r="DD41" s="36"/>
      <c r="DE41" s="136" t="s">
        <v>40</v>
      </c>
      <c r="DF41" s="137">
        <v>0</v>
      </c>
      <c r="DG41" s="138">
        <v>0</v>
      </c>
      <c r="DH41" s="138">
        <v>0</v>
      </c>
      <c r="DI41" s="138">
        <v>0</v>
      </c>
      <c r="DJ41" s="138">
        <v>0</v>
      </c>
      <c r="DK41" s="139" t="s">
        <v>42</v>
      </c>
      <c r="DL41" s="138"/>
      <c r="DM41" s="138">
        <v>0</v>
      </c>
      <c r="DN41" s="138">
        <v>0</v>
      </c>
      <c r="DO41" s="138">
        <v>0</v>
      </c>
      <c r="DP41" s="138">
        <v>0</v>
      </c>
      <c r="DQ41" s="140">
        <v>0</v>
      </c>
      <c r="DS41" s="5" t="s">
        <v>92</v>
      </c>
      <c r="DT41" s="36"/>
      <c r="DU41" s="136" t="s">
        <v>40</v>
      </c>
      <c r="DV41" s="137">
        <v>0</v>
      </c>
      <c r="DW41" s="138">
        <v>0</v>
      </c>
      <c r="DX41" s="138">
        <v>0</v>
      </c>
      <c r="DY41" s="138">
        <v>0</v>
      </c>
      <c r="DZ41" s="138">
        <v>0</v>
      </c>
      <c r="EA41" s="139" t="s">
        <v>42</v>
      </c>
      <c r="EB41" s="138"/>
      <c r="EC41" s="138">
        <v>0</v>
      </c>
      <c r="ED41" s="138">
        <v>0</v>
      </c>
      <c r="EE41" s="138">
        <v>0</v>
      </c>
      <c r="EF41" s="138">
        <v>0</v>
      </c>
      <c r="EG41" s="140">
        <v>0</v>
      </c>
      <c r="EI41" s="5" t="s">
        <v>92</v>
      </c>
      <c r="EJ41" s="36"/>
      <c r="EK41" s="136" t="s">
        <v>40</v>
      </c>
      <c r="EL41" s="137">
        <v>0</v>
      </c>
      <c r="EM41" s="138">
        <v>0</v>
      </c>
      <c r="EN41" s="138">
        <v>0</v>
      </c>
      <c r="EO41" s="138">
        <v>0</v>
      </c>
      <c r="EP41" s="138">
        <v>0</v>
      </c>
      <c r="EQ41" s="139" t="s">
        <v>42</v>
      </c>
      <c r="ER41" s="138"/>
      <c r="ES41" s="138">
        <v>0</v>
      </c>
      <c r="ET41" s="138">
        <v>0</v>
      </c>
      <c r="EU41" s="138">
        <v>0</v>
      </c>
      <c r="EV41" s="138">
        <v>0</v>
      </c>
      <c r="EW41" s="140">
        <v>0</v>
      </c>
    </row>
    <row r="42" spans="2:153" ht="13.5" thickBot="1" x14ac:dyDescent="0.25">
      <c r="B42" s="40" t="s">
        <v>93</v>
      </c>
      <c r="C42" s="1531">
        <v>1</v>
      </c>
      <c r="D42" s="1533">
        <v>2</v>
      </c>
      <c r="E42" s="129"/>
      <c r="F42" s="1536">
        <v>8</v>
      </c>
      <c r="G42" s="129"/>
      <c r="I42" s="15"/>
      <c r="K42" s="57"/>
      <c r="L42" s="59"/>
      <c r="M42" s="141" t="str">
        <f>'4 Myynti'!D120</f>
        <v>kausi</v>
      </c>
      <c r="N42" s="72">
        <f>'4 Myynti'!E120</f>
        <v>1</v>
      </c>
      <c r="O42" s="70">
        <f>'4 Myynti'!F120</f>
        <v>2</v>
      </c>
      <c r="P42" s="70">
        <f>'4 Myynti'!G120</f>
        <v>3</v>
      </c>
      <c r="Q42" s="70">
        <f>'4 Myynti'!H120</f>
        <v>4</v>
      </c>
      <c r="R42" s="70">
        <f>'4 Myynti'!I120</f>
        <v>5</v>
      </c>
      <c r="S42" s="70">
        <f>'4 Myynti'!J120</f>
        <v>6</v>
      </c>
      <c r="T42" s="70">
        <f>'4 Myynti'!K120</f>
        <v>7</v>
      </c>
      <c r="U42" s="70">
        <f>'4 Myynti'!L120</f>
        <v>8</v>
      </c>
      <c r="V42" s="70">
        <f>'4 Myynti'!M120</f>
        <v>9</v>
      </c>
      <c r="W42" s="70">
        <f>'4 Myynti'!N120</f>
        <v>10</v>
      </c>
      <c r="X42" s="70">
        <f>'4 Myynti'!O120</f>
        <v>11</v>
      </c>
      <c r="Y42" s="71">
        <f>'4 Myynti'!P120</f>
        <v>12</v>
      </c>
      <c r="AA42" s="57"/>
      <c r="AB42" s="59"/>
      <c r="AC42" s="1166" t="s">
        <v>41</v>
      </c>
      <c r="AD42" s="142">
        <v>1</v>
      </c>
      <c r="AE42" s="143">
        <v>2</v>
      </c>
      <c r="AF42" s="143">
        <v>3</v>
      </c>
      <c r="AG42" s="143">
        <v>4</v>
      </c>
      <c r="AH42" s="143">
        <v>5</v>
      </c>
      <c r="AI42" s="143">
        <v>6</v>
      </c>
      <c r="AJ42" s="143">
        <v>7</v>
      </c>
      <c r="AK42" s="143">
        <v>8</v>
      </c>
      <c r="AL42" s="143">
        <v>9</v>
      </c>
      <c r="AM42" s="143">
        <v>10</v>
      </c>
      <c r="AN42" s="143">
        <v>11</v>
      </c>
      <c r="AO42" s="144">
        <v>12</v>
      </c>
      <c r="AQ42" s="57"/>
      <c r="AR42" s="59"/>
      <c r="AS42" s="141" t="s">
        <v>41</v>
      </c>
      <c r="AT42" s="142">
        <v>1</v>
      </c>
      <c r="AU42" s="143">
        <v>2</v>
      </c>
      <c r="AV42" s="143">
        <v>3</v>
      </c>
      <c r="AW42" s="143">
        <v>4</v>
      </c>
      <c r="AX42" s="143">
        <v>5</v>
      </c>
      <c r="AY42" s="143">
        <v>6</v>
      </c>
      <c r="AZ42" s="143">
        <v>7</v>
      </c>
      <c r="BA42" s="143">
        <v>8</v>
      </c>
      <c r="BB42" s="143">
        <v>9</v>
      </c>
      <c r="BC42" s="143">
        <v>10</v>
      </c>
      <c r="BD42" s="143">
        <v>11</v>
      </c>
      <c r="BE42" s="144">
        <v>12</v>
      </c>
      <c r="BG42" s="57"/>
      <c r="BH42" s="59"/>
      <c r="BI42" s="141" t="s">
        <v>41</v>
      </c>
      <c r="BJ42" s="142">
        <v>1</v>
      </c>
      <c r="BK42" s="143">
        <v>2</v>
      </c>
      <c r="BL42" s="143">
        <v>3</v>
      </c>
      <c r="BM42" s="143">
        <v>4</v>
      </c>
      <c r="BN42" s="143">
        <v>5</v>
      </c>
      <c r="BO42" s="143">
        <v>6</v>
      </c>
      <c r="BP42" s="143">
        <v>7</v>
      </c>
      <c r="BQ42" s="143">
        <v>8</v>
      </c>
      <c r="BR42" s="143">
        <v>9</v>
      </c>
      <c r="BS42" s="143">
        <v>10</v>
      </c>
      <c r="BT42" s="143">
        <v>11</v>
      </c>
      <c r="BU42" s="144">
        <v>12</v>
      </c>
      <c r="BW42" s="57"/>
      <c r="BX42" s="59"/>
      <c r="BY42" s="141" t="s">
        <v>41</v>
      </c>
      <c r="BZ42" s="142">
        <v>1</v>
      </c>
      <c r="CA42" s="143">
        <v>2</v>
      </c>
      <c r="CB42" s="143">
        <v>3</v>
      </c>
      <c r="CC42" s="143">
        <v>4</v>
      </c>
      <c r="CD42" s="143">
        <v>5</v>
      </c>
      <c r="CE42" s="143">
        <v>6</v>
      </c>
      <c r="CF42" s="143">
        <v>7</v>
      </c>
      <c r="CG42" s="143">
        <v>8</v>
      </c>
      <c r="CH42" s="143">
        <v>9</v>
      </c>
      <c r="CI42" s="143">
        <v>10</v>
      </c>
      <c r="CJ42" s="143">
        <v>11</v>
      </c>
      <c r="CK42" s="144">
        <v>12</v>
      </c>
      <c r="CM42" s="57"/>
      <c r="CN42" s="59"/>
      <c r="CO42" s="141" t="s">
        <v>41</v>
      </c>
      <c r="CP42" s="142">
        <v>1</v>
      </c>
      <c r="CQ42" s="143">
        <v>2</v>
      </c>
      <c r="CR42" s="143">
        <v>3</v>
      </c>
      <c r="CS42" s="143">
        <v>4</v>
      </c>
      <c r="CT42" s="143">
        <v>5</v>
      </c>
      <c r="CU42" s="143">
        <v>6</v>
      </c>
      <c r="CV42" s="143">
        <v>7</v>
      </c>
      <c r="CW42" s="143">
        <v>8</v>
      </c>
      <c r="CX42" s="143">
        <v>9</v>
      </c>
      <c r="CY42" s="143">
        <v>10</v>
      </c>
      <c r="CZ42" s="143">
        <v>11</v>
      </c>
      <c r="DA42" s="144">
        <v>12</v>
      </c>
      <c r="DC42" s="57"/>
      <c r="DD42" s="59"/>
      <c r="DE42" s="141" t="s">
        <v>41</v>
      </c>
      <c r="DF42" s="142">
        <v>1</v>
      </c>
      <c r="DG42" s="143">
        <v>2</v>
      </c>
      <c r="DH42" s="143">
        <v>3</v>
      </c>
      <c r="DI42" s="143">
        <v>4</v>
      </c>
      <c r="DJ42" s="143">
        <v>5</v>
      </c>
      <c r="DK42" s="143">
        <v>6</v>
      </c>
      <c r="DL42" s="143">
        <v>7</v>
      </c>
      <c r="DM42" s="143">
        <v>8</v>
      </c>
      <c r="DN42" s="143">
        <v>9</v>
      </c>
      <c r="DO42" s="143">
        <v>10</v>
      </c>
      <c r="DP42" s="143">
        <v>11</v>
      </c>
      <c r="DQ42" s="144">
        <v>12</v>
      </c>
      <c r="DS42" s="57"/>
      <c r="DT42" s="59"/>
      <c r="DU42" s="141" t="s">
        <v>41</v>
      </c>
      <c r="DV42" s="142">
        <v>1</v>
      </c>
      <c r="DW42" s="143">
        <v>2</v>
      </c>
      <c r="DX42" s="143">
        <v>3</v>
      </c>
      <c r="DY42" s="143">
        <v>4</v>
      </c>
      <c r="DZ42" s="143">
        <v>5</v>
      </c>
      <c r="EA42" s="143">
        <v>6</v>
      </c>
      <c r="EB42" s="143">
        <v>7</v>
      </c>
      <c r="EC42" s="143">
        <v>8</v>
      </c>
      <c r="ED42" s="143">
        <v>9</v>
      </c>
      <c r="EE42" s="143">
        <v>10</v>
      </c>
      <c r="EF42" s="143">
        <v>11</v>
      </c>
      <c r="EG42" s="144">
        <v>12</v>
      </c>
      <c r="EI42" s="57"/>
      <c r="EJ42" s="59"/>
      <c r="EK42" s="141" t="s">
        <v>41</v>
      </c>
      <c r="EL42" s="142">
        <v>1</v>
      </c>
      <c r="EM42" s="143">
        <v>2</v>
      </c>
      <c r="EN42" s="143">
        <v>3</v>
      </c>
      <c r="EO42" s="143">
        <v>4</v>
      </c>
      <c r="EP42" s="143">
        <v>5</v>
      </c>
      <c r="EQ42" s="143">
        <v>6</v>
      </c>
      <c r="ER42" s="143">
        <v>7</v>
      </c>
      <c r="ES42" s="143">
        <v>8</v>
      </c>
      <c r="ET42" s="143">
        <v>9</v>
      </c>
      <c r="EU42" s="143">
        <v>10</v>
      </c>
      <c r="EV42" s="143">
        <v>11</v>
      </c>
      <c r="EW42" s="144">
        <v>12</v>
      </c>
    </row>
    <row r="43" spans="2:153" x14ac:dyDescent="0.2">
      <c r="I43" s="15"/>
      <c r="K43" s="5" t="s">
        <v>110</v>
      </c>
      <c r="L43" s="13"/>
      <c r="M43" s="425">
        <f>SUM(N43:Y43)</f>
        <v>0</v>
      </c>
      <c r="N43" s="499">
        <f>'4 Myynti'!E123+'4 Myynti'!E128</f>
        <v>0</v>
      </c>
      <c r="O43" s="499">
        <f>'4 Myynti'!F123+'4 Myynti'!F128</f>
        <v>0</v>
      </c>
      <c r="P43" s="499">
        <f>'4 Myynti'!G123+'4 Myynti'!G128</f>
        <v>0</v>
      </c>
      <c r="Q43" s="499">
        <f>'4 Myynti'!H123+'4 Myynti'!H128</f>
        <v>0</v>
      </c>
      <c r="R43" s="499">
        <f>'4 Myynti'!I123+'4 Myynti'!I128</f>
        <v>0</v>
      </c>
      <c r="S43" s="499">
        <f>'4 Myynti'!J123+'4 Myynti'!J128</f>
        <v>0</v>
      </c>
      <c r="T43" s="499">
        <f>'4 Myynti'!K123+'4 Myynti'!K128</f>
        <v>0</v>
      </c>
      <c r="U43" s="499">
        <f>'4 Myynti'!L123+'4 Myynti'!L128</f>
        <v>0</v>
      </c>
      <c r="V43" s="499">
        <f>'4 Myynti'!M123+'4 Myynti'!M128</f>
        <v>0</v>
      </c>
      <c r="W43" s="499">
        <f>'4 Myynti'!N123+'4 Myynti'!N128</f>
        <v>0</v>
      </c>
      <c r="X43" s="499">
        <f>'4 Myynti'!O123+'4 Myynti'!O128</f>
        <v>0</v>
      </c>
      <c r="Y43" s="499">
        <f>'4 Myynti'!P123+'4 Myynti'!P128</f>
        <v>0</v>
      </c>
      <c r="AA43" s="5" t="s">
        <v>110</v>
      </c>
      <c r="AB43" s="13"/>
      <c r="AC43" s="1390">
        <f>SUM(AD43:AO43)</f>
        <v>0</v>
      </c>
      <c r="AD43" s="499">
        <f>$C$38*N43/100*$D$38</f>
        <v>0</v>
      </c>
      <c r="AE43" s="499">
        <f t="shared" ref="AE43:AO43" si="26">$C$38*O43/100*$D$38</f>
        <v>0</v>
      </c>
      <c r="AF43" s="499">
        <f t="shared" si="26"/>
        <v>0</v>
      </c>
      <c r="AG43" s="499">
        <f t="shared" si="26"/>
        <v>0</v>
      </c>
      <c r="AH43" s="499">
        <f t="shared" si="26"/>
        <v>0</v>
      </c>
      <c r="AI43" s="499">
        <f t="shared" si="26"/>
        <v>0</v>
      </c>
      <c r="AJ43" s="499">
        <f t="shared" si="26"/>
        <v>0</v>
      </c>
      <c r="AK43" s="499">
        <f t="shared" si="26"/>
        <v>0</v>
      </c>
      <c r="AL43" s="499">
        <f t="shared" si="26"/>
        <v>0</v>
      </c>
      <c r="AM43" s="499">
        <f t="shared" si="26"/>
        <v>0</v>
      </c>
      <c r="AN43" s="499">
        <f t="shared" si="26"/>
        <v>0</v>
      </c>
      <c r="AO43" s="499">
        <f t="shared" si="26"/>
        <v>0</v>
      </c>
      <c r="AQ43" s="5" t="s">
        <v>110</v>
      </c>
      <c r="AR43" s="13"/>
      <c r="AS43" s="425">
        <f>SUM(AT43:BE43)</f>
        <v>0</v>
      </c>
      <c r="AT43" s="499">
        <f>AD43*'11. Työtunnit'!$C$7</f>
        <v>0</v>
      </c>
      <c r="AU43" s="499">
        <f>AE43*'11. Työtunnit'!$C$7</f>
        <v>0</v>
      </c>
      <c r="AV43" s="499">
        <f>AF43*'11. Työtunnit'!$C$7</f>
        <v>0</v>
      </c>
      <c r="AW43" s="499">
        <f>AG43*'11. Työtunnit'!$C$7</f>
        <v>0</v>
      </c>
      <c r="AX43" s="499">
        <f>AH43*'11. Työtunnit'!$C$7</f>
        <v>0</v>
      </c>
      <c r="AY43" s="499">
        <f>AI43*'11. Työtunnit'!$C$7</f>
        <v>0</v>
      </c>
      <c r="AZ43" s="499">
        <f>AJ43*'11. Työtunnit'!$C$7</f>
        <v>0</v>
      </c>
      <c r="BA43" s="499">
        <f>AK43*'11. Työtunnit'!$C$7</f>
        <v>0</v>
      </c>
      <c r="BB43" s="499">
        <f>AL43*'11. Työtunnit'!$C$7</f>
        <v>0</v>
      </c>
      <c r="BC43" s="499">
        <f>AM43*'11. Työtunnit'!$C$7</f>
        <v>0</v>
      </c>
      <c r="BD43" s="499">
        <f>AN43*'11. Työtunnit'!$C$7</f>
        <v>0</v>
      </c>
      <c r="BE43" s="499">
        <f>AO43*'11. Työtunnit'!$C$7</f>
        <v>0</v>
      </c>
      <c r="BG43" s="5" t="s">
        <v>110</v>
      </c>
      <c r="BH43" s="13"/>
      <c r="BI43" s="425">
        <f>SUM(BJ43:BU43)</f>
        <v>0</v>
      </c>
      <c r="BJ43" s="499">
        <f>AT43*'3 Saalis'!CK37</f>
        <v>0</v>
      </c>
      <c r="BK43" s="499">
        <f>AU43*'3 Saalis'!CL37</f>
        <v>0</v>
      </c>
      <c r="BL43" s="499">
        <f>AV43*'3 Saalis'!CM37</f>
        <v>0</v>
      </c>
      <c r="BM43" s="499">
        <f>AW43*'3 Saalis'!CN37</f>
        <v>0</v>
      </c>
      <c r="BN43" s="499">
        <f>AX43*'3 Saalis'!CO37</f>
        <v>0</v>
      </c>
      <c r="BO43" s="499">
        <f>AY43*'3 Saalis'!CP37</f>
        <v>0</v>
      </c>
      <c r="BP43" s="499">
        <f>AZ43*'3 Saalis'!CQ37</f>
        <v>0</v>
      </c>
      <c r="BQ43" s="499">
        <f>BA43*'3 Saalis'!CR37</f>
        <v>0</v>
      </c>
      <c r="BR43" s="499">
        <f>BB43*'3 Saalis'!CS37</f>
        <v>0</v>
      </c>
      <c r="BS43" s="499">
        <f>BC43*'3 Saalis'!CT37</f>
        <v>0</v>
      </c>
      <c r="BT43" s="499">
        <f>BD43*'3 Saalis'!CU37</f>
        <v>0</v>
      </c>
      <c r="BU43" s="499">
        <f>BE43*'3 Saalis'!CV37</f>
        <v>0</v>
      </c>
      <c r="BW43" s="5" t="s">
        <v>110</v>
      </c>
      <c r="BX43" s="13"/>
      <c r="BY43" s="425">
        <f>SUM(BZ43:CK43)</f>
        <v>0</v>
      </c>
      <c r="BZ43" s="499">
        <f>AT43*'3 Saalis'!CK59</f>
        <v>0</v>
      </c>
      <c r="CA43" s="499">
        <f>AU43*'3 Saalis'!CL59</f>
        <v>0</v>
      </c>
      <c r="CB43" s="499">
        <f>AV43*'3 Saalis'!CM59</f>
        <v>0</v>
      </c>
      <c r="CC43" s="499">
        <f>AW43*'3 Saalis'!CN59</f>
        <v>0</v>
      </c>
      <c r="CD43" s="499">
        <f>AX43*'3 Saalis'!CO59</f>
        <v>0</v>
      </c>
      <c r="CE43" s="499">
        <f>AY43*'3 Saalis'!CP59</f>
        <v>0</v>
      </c>
      <c r="CF43" s="499">
        <f>AZ43*'3 Saalis'!CQ59</f>
        <v>0</v>
      </c>
      <c r="CG43" s="499">
        <f>BA43*'3 Saalis'!CR59</f>
        <v>0</v>
      </c>
      <c r="CH43" s="499">
        <f>BB43*'3 Saalis'!CS59</f>
        <v>0</v>
      </c>
      <c r="CI43" s="499">
        <f>BC43*'3 Saalis'!CT59</f>
        <v>0</v>
      </c>
      <c r="CJ43" s="499">
        <f>BD43*'3 Saalis'!CU59</f>
        <v>0</v>
      </c>
      <c r="CK43" s="499">
        <f>BE43*'3 Saalis'!CV59</f>
        <v>0</v>
      </c>
      <c r="CM43" s="5" t="s">
        <v>110</v>
      </c>
      <c r="CN43" s="13"/>
      <c r="CO43" s="425">
        <f>SUM(CP43:DA43)</f>
        <v>0</v>
      </c>
      <c r="CP43" s="499">
        <f>'3 Saalis'!CK81*'5 Kalan alkukäsittely satamassa'!AT43</f>
        <v>0</v>
      </c>
      <c r="CQ43" s="499">
        <f>'3 Saalis'!CL81*'5 Kalan alkukäsittely satamassa'!AU43</f>
        <v>0</v>
      </c>
      <c r="CR43" s="499">
        <f>'3 Saalis'!CM81*'5 Kalan alkukäsittely satamassa'!AV43</f>
        <v>0</v>
      </c>
      <c r="CS43" s="499">
        <f>'3 Saalis'!CN81*'5 Kalan alkukäsittely satamassa'!AW43</f>
        <v>0</v>
      </c>
      <c r="CT43" s="499">
        <f>'3 Saalis'!CO81*'5 Kalan alkukäsittely satamassa'!AX43</f>
        <v>0</v>
      </c>
      <c r="CU43" s="499">
        <f>'3 Saalis'!CP81*'5 Kalan alkukäsittely satamassa'!AY43</f>
        <v>0</v>
      </c>
      <c r="CV43" s="499">
        <f>'3 Saalis'!CQ81*'5 Kalan alkukäsittely satamassa'!AZ43</f>
        <v>0</v>
      </c>
      <c r="CW43" s="499">
        <f>'3 Saalis'!CR81*'5 Kalan alkukäsittely satamassa'!BA43</f>
        <v>0</v>
      </c>
      <c r="CX43" s="499">
        <f>'3 Saalis'!CS81*'5 Kalan alkukäsittely satamassa'!BB43</f>
        <v>0</v>
      </c>
      <c r="CY43" s="499">
        <f>'3 Saalis'!CT81*'5 Kalan alkukäsittely satamassa'!BC43</f>
        <v>0</v>
      </c>
      <c r="CZ43" s="499">
        <f>'3 Saalis'!CU81*'5 Kalan alkukäsittely satamassa'!BD43</f>
        <v>0</v>
      </c>
      <c r="DA43" s="499">
        <f>'3 Saalis'!CV81*'5 Kalan alkukäsittely satamassa'!BE43</f>
        <v>0</v>
      </c>
      <c r="DC43" s="5" t="s">
        <v>110</v>
      </c>
      <c r="DD43" s="13"/>
      <c r="DE43" s="425">
        <f>SUM(DF43:DQ43)</f>
        <v>0</v>
      </c>
      <c r="DF43" s="499">
        <f>'3 Saalis'!CK103*'5 Kalan alkukäsittely satamassa'!AT43</f>
        <v>0</v>
      </c>
      <c r="DG43" s="499">
        <f>'3 Saalis'!CL103*'5 Kalan alkukäsittely satamassa'!AU43</f>
        <v>0</v>
      </c>
      <c r="DH43" s="499">
        <f>'3 Saalis'!CM103*'5 Kalan alkukäsittely satamassa'!AV43</f>
        <v>0</v>
      </c>
      <c r="DI43" s="499">
        <f>'3 Saalis'!CN103*'5 Kalan alkukäsittely satamassa'!AW43</f>
        <v>0</v>
      </c>
      <c r="DJ43" s="499">
        <f>'3 Saalis'!CO103*'5 Kalan alkukäsittely satamassa'!AX43</f>
        <v>0</v>
      </c>
      <c r="DK43" s="499">
        <f>'3 Saalis'!CP103*'5 Kalan alkukäsittely satamassa'!AY43</f>
        <v>0</v>
      </c>
      <c r="DL43" s="499">
        <f>'3 Saalis'!CQ103*'5 Kalan alkukäsittely satamassa'!AZ43</f>
        <v>0</v>
      </c>
      <c r="DM43" s="499">
        <f>'3 Saalis'!CR103*'5 Kalan alkukäsittely satamassa'!BA43</f>
        <v>0</v>
      </c>
      <c r="DN43" s="499">
        <f>'3 Saalis'!CS103*'5 Kalan alkukäsittely satamassa'!BB43</f>
        <v>0</v>
      </c>
      <c r="DO43" s="499">
        <f>'3 Saalis'!CT103*'5 Kalan alkukäsittely satamassa'!BC43</f>
        <v>0</v>
      </c>
      <c r="DP43" s="499">
        <f>'3 Saalis'!CU103*'5 Kalan alkukäsittely satamassa'!BD43</f>
        <v>0</v>
      </c>
      <c r="DQ43" s="499">
        <f>'3 Saalis'!CV103*'5 Kalan alkukäsittely satamassa'!BE43</f>
        <v>0</v>
      </c>
      <c r="DS43" s="5" t="s">
        <v>110</v>
      </c>
      <c r="DT43" s="13"/>
      <c r="DU43" s="425">
        <f>SUM(DV43:EG43)</f>
        <v>0</v>
      </c>
      <c r="DV43" s="499">
        <f>AT43*'3 Saalis'!CK125</f>
        <v>0</v>
      </c>
      <c r="DW43" s="499">
        <f>AU43*'3 Saalis'!CL125</f>
        <v>0</v>
      </c>
      <c r="DX43" s="499">
        <f>AV43*'3 Saalis'!CM125</f>
        <v>0</v>
      </c>
      <c r="DY43" s="499">
        <f>AW43*'3 Saalis'!CN125</f>
        <v>0</v>
      </c>
      <c r="DZ43" s="499">
        <f>AX43*'3 Saalis'!CO125</f>
        <v>0</v>
      </c>
      <c r="EA43" s="499">
        <f>AY43*'3 Saalis'!CP125</f>
        <v>0</v>
      </c>
      <c r="EB43" s="499">
        <f>AZ43*'3 Saalis'!CQ125</f>
        <v>0</v>
      </c>
      <c r="EC43" s="499">
        <f>BA43*'3 Saalis'!CR125</f>
        <v>0</v>
      </c>
      <c r="ED43" s="499">
        <f>BB43*'3 Saalis'!CS125</f>
        <v>0</v>
      </c>
      <c r="EE43" s="499">
        <f>BC43*'3 Saalis'!CT125</f>
        <v>0</v>
      </c>
      <c r="EF43" s="499">
        <f>BD43*'3 Saalis'!CU125</f>
        <v>0</v>
      </c>
      <c r="EG43" s="499">
        <f>BE43*'3 Saalis'!CV125</f>
        <v>0</v>
      </c>
      <c r="EI43" s="5" t="s">
        <v>110</v>
      </c>
      <c r="EJ43" s="13"/>
      <c r="EK43" s="425">
        <f>SUM(EL43:EW43)</f>
        <v>0</v>
      </c>
      <c r="EL43" s="499">
        <f>AT43*'3 Saalis'!CK147</f>
        <v>0</v>
      </c>
      <c r="EM43" s="499">
        <f>AU43*'3 Saalis'!CL147</f>
        <v>0</v>
      </c>
      <c r="EN43" s="499">
        <f>AV43*'3 Saalis'!CM147</f>
        <v>0</v>
      </c>
      <c r="EO43" s="499">
        <f>AW43*'3 Saalis'!CN147</f>
        <v>0</v>
      </c>
      <c r="EP43" s="499">
        <f>AX43*'3 Saalis'!CO147</f>
        <v>0</v>
      </c>
      <c r="EQ43" s="499">
        <f>AY43*'3 Saalis'!CP147</f>
        <v>0</v>
      </c>
      <c r="ER43" s="499">
        <f>AZ43*'3 Saalis'!CQ147</f>
        <v>0</v>
      </c>
      <c r="ES43" s="499">
        <f>BA43*'3 Saalis'!CR147</f>
        <v>0</v>
      </c>
      <c r="ET43" s="499">
        <f>BB43*'3 Saalis'!CS147</f>
        <v>0</v>
      </c>
      <c r="EU43" s="499">
        <f>BC43*'3 Saalis'!CT147</f>
        <v>0</v>
      </c>
      <c r="EV43" s="499">
        <f>BD43*'3 Saalis'!CU147</f>
        <v>0</v>
      </c>
      <c r="EW43" s="499">
        <f>BE43*'3 Saalis'!CV147</f>
        <v>0</v>
      </c>
    </row>
    <row r="44" spans="2:153" ht="13.5" thickBot="1" x14ac:dyDescent="0.25">
      <c r="I44" s="15"/>
      <c r="K44" s="57" t="s">
        <v>114</v>
      </c>
      <c r="L44" s="68"/>
      <c r="M44" s="510">
        <f>SUM(N44:Y44)</f>
        <v>0</v>
      </c>
      <c r="N44" s="514">
        <f>'4 Myynti'!E124+'4 Myynti'!E129</f>
        <v>0</v>
      </c>
      <c r="O44" s="524">
        <f>'4 Myynti'!F124+'4 Myynti'!F129</f>
        <v>0</v>
      </c>
      <c r="P44" s="524">
        <f>'4 Myynti'!G124+'4 Myynti'!G129</f>
        <v>0</v>
      </c>
      <c r="Q44" s="524">
        <f>'4 Myynti'!H124+'4 Myynti'!H129</f>
        <v>0</v>
      </c>
      <c r="R44" s="524">
        <f>'4 Myynti'!I124+'4 Myynti'!I129</f>
        <v>0</v>
      </c>
      <c r="S44" s="524">
        <f>'4 Myynti'!J124+'4 Myynti'!J129</f>
        <v>0</v>
      </c>
      <c r="T44" s="524">
        <f>'4 Myynti'!K124+'4 Myynti'!K129</f>
        <v>0</v>
      </c>
      <c r="U44" s="524">
        <f>'4 Myynti'!L124+'4 Myynti'!L129</f>
        <v>0</v>
      </c>
      <c r="V44" s="524">
        <f>'4 Myynti'!M124+'4 Myynti'!M129</f>
        <v>0</v>
      </c>
      <c r="W44" s="524">
        <f>'4 Myynti'!N124+'4 Myynti'!N129</f>
        <v>0</v>
      </c>
      <c r="X44" s="524">
        <f>'4 Myynti'!O124+'4 Myynti'!O129</f>
        <v>0</v>
      </c>
      <c r="Y44" s="525">
        <f>'4 Myynti'!P124+'4 Myynti'!P129</f>
        <v>0</v>
      </c>
      <c r="AA44" s="57" t="s">
        <v>114</v>
      </c>
      <c r="AB44" s="68"/>
      <c r="AC44" s="1392">
        <f>SUM(AD44:AO44)</f>
        <v>0</v>
      </c>
      <c r="AD44" s="514">
        <f t="shared" ref="AD44:AO44" si="27">N44/100*$E$38</f>
        <v>0</v>
      </c>
      <c r="AE44" s="524">
        <f t="shared" si="27"/>
        <v>0</v>
      </c>
      <c r="AF44" s="524">
        <f t="shared" si="27"/>
        <v>0</v>
      </c>
      <c r="AG44" s="524">
        <f t="shared" si="27"/>
        <v>0</v>
      </c>
      <c r="AH44" s="524">
        <f t="shared" si="27"/>
        <v>0</v>
      </c>
      <c r="AI44" s="524">
        <f t="shared" si="27"/>
        <v>0</v>
      </c>
      <c r="AJ44" s="524">
        <f t="shared" si="27"/>
        <v>0</v>
      </c>
      <c r="AK44" s="524">
        <f t="shared" si="27"/>
        <v>0</v>
      </c>
      <c r="AL44" s="524">
        <f t="shared" si="27"/>
        <v>0</v>
      </c>
      <c r="AM44" s="524">
        <f t="shared" si="27"/>
        <v>0</v>
      </c>
      <c r="AN44" s="524">
        <f t="shared" si="27"/>
        <v>0</v>
      </c>
      <c r="AO44" s="525">
        <f t="shared" si="27"/>
        <v>0</v>
      </c>
      <c r="AQ44" s="57" t="s">
        <v>114</v>
      </c>
      <c r="AR44" s="68"/>
      <c r="AS44" s="510">
        <f>SUM(AT44:BE44)</f>
        <v>0</v>
      </c>
      <c r="AT44" s="514">
        <f>AD44*'11. Työtunnit'!$C$7</f>
        <v>0</v>
      </c>
      <c r="AU44" s="524">
        <f>AE44*'11. Työtunnit'!$C$7</f>
        <v>0</v>
      </c>
      <c r="AV44" s="524">
        <f>AF44*'11. Työtunnit'!$C$7</f>
        <v>0</v>
      </c>
      <c r="AW44" s="524">
        <f>AG44*'11. Työtunnit'!$C$7</f>
        <v>0</v>
      </c>
      <c r="AX44" s="524">
        <f>AH44*'11. Työtunnit'!$C$7</f>
        <v>0</v>
      </c>
      <c r="AY44" s="524">
        <f>AI44*'11. Työtunnit'!$C$7</f>
        <v>0</v>
      </c>
      <c r="AZ44" s="524">
        <f>AJ44*'11. Työtunnit'!$C$7</f>
        <v>0</v>
      </c>
      <c r="BA44" s="524">
        <f>AK44*'11. Työtunnit'!$C$7</f>
        <v>0</v>
      </c>
      <c r="BB44" s="524">
        <f>AL44*'11. Työtunnit'!$C$7</f>
        <v>0</v>
      </c>
      <c r="BC44" s="524">
        <f>AM44*'11. Työtunnit'!$C$7</f>
        <v>0</v>
      </c>
      <c r="BD44" s="524">
        <f>AN44*'11. Työtunnit'!$C$7</f>
        <v>0</v>
      </c>
      <c r="BE44" s="525">
        <f>AO44*'11. Työtunnit'!$C$7</f>
        <v>0</v>
      </c>
      <c r="BG44" s="57" t="s">
        <v>114</v>
      </c>
      <c r="BH44" s="68"/>
      <c r="BI44" s="510">
        <f>SUM(BJ44:BU44)</f>
        <v>0</v>
      </c>
      <c r="BJ44" s="514">
        <f>AT44*'3 Saalis'!CK37</f>
        <v>0</v>
      </c>
      <c r="BK44" s="524">
        <f>AU44*'3 Saalis'!CL37</f>
        <v>0</v>
      </c>
      <c r="BL44" s="524">
        <f>AV44*'3 Saalis'!CM37</f>
        <v>0</v>
      </c>
      <c r="BM44" s="524">
        <f>AW44*'3 Saalis'!CN37</f>
        <v>0</v>
      </c>
      <c r="BN44" s="524">
        <f>AX44*'3 Saalis'!CO37</f>
        <v>0</v>
      </c>
      <c r="BO44" s="524">
        <f>AY44*'3 Saalis'!CP37</f>
        <v>0</v>
      </c>
      <c r="BP44" s="524">
        <f>AZ44*'3 Saalis'!CQ37</f>
        <v>0</v>
      </c>
      <c r="BQ44" s="524">
        <f>BA44*'3 Saalis'!CR37</f>
        <v>0</v>
      </c>
      <c r="BR44" s="524">
        <f>BB44*'3 Saalis'!CS37</f>
        <v>0</v>
      </c>
      <c r="BS44" s="524">
        <f>BC44*'3 Saalis'!CT37</f>
        <v>0</v>
      </c>
      <c r="BT44" s="524">
        <f>BD44*'3 Saalis'!CU37</f>
        <v>0</v>
      </c>
      <c r="BU44" s="525">
        <f>BE44*'3 Saalis'!CV37</f>
        <v>0</v>
      </c>
      <c r="BW44" s="57" t="s">
        <v>114</v>
      </c>
      <c r="BX44" s="68"/>
      <c r="BY44" s="510">
        <f>SUM(BZ44:CK44)</f>
        <v>0</v>
      </c>
      <c r="BZ44" s="514">
        <f>AT44*'3 Saalis'!CK59</f>
        <v>0</v>
      </c>
      <c r="CA44" s="524">
        <f>AU44*'3 Saalis'!CL59</f>
        <v>0</v>
      </c>
      <c r="CB44" s="524">
        <f>AV44*'3 Saalis'!CM59</f>
        <v>0</v>
      </c>
      <c r="CC44" s="524">
        <f>AW44*'3 Saalis'!CN59</f>
        <v>0</v>
      </c>
      <c r="CD44" s="524">
        <f>AX44*'3 Saalis'!CO59</f>
        <v>0</v>
      </c>
      <c r="CE44" s="524">
        <f>AY44*'3 Saalis'!CP59</f>
        <v>0</v>
      </c>
      <c r="CF44" s="524">
        <f>AZ44*'3 Saalis'!CQ59</f>
        <v>0</v>
      </c>
      <c r="CG44" s="524">
        <f>BA44*'3 Saalis'!CR59</f>
        <v>0</v>
      </c>
      <c r="CH44" s="524">
        <f>BB44*'3 Saalis'!CS59</f>
        <v>0</v>
      </c>
      <c r="CI44" s="524">
        <f>BC44*'3 Saalis'!CT59</f>
        <v>0</v>
      </c>
      <c r="CJ44" s="524">
        <f>BD44*'3 Saalis'!CU59</f>
        <v>0</v>
      </c>
      <c r="CK44" s="525">
        <f>BE44*'3 Saalis'!CV59</f>
        <v>0</v>
      </c>
      <c r="CM44" s="57" t="s">
        <v>114</v>
      </c>
      <c r="CN44" s="68"/>
      <c r="CO44" s="510">
        <f>SUM(CP44:DA44)</f>
        <v>0</v>
      </c>
      <c r="CP44" s="514">
        <f>'3 Saalis'!CK81*'5 Kalan alkukäsittely satamassa'!AT44</f>
        <v>0</v>
      </c>
      <c r="CQ44" s="524">
        <f>'3 Saalis'!CL81*'5 Kalan alkukäsittely satamassa'!AU44</f>
        <v>0</v>
      </c>
      <c r="CR44" s="524">
        <f>'3 Saalis'!CM81*'5 Kalan alkukäsittely satamassa'!AV44</f>
        <v>0</v>
      </c>
      <c r="CS44" s="524">
        <f>'3 Saalis'!CN81*'5 Kalan alkukäsittely satamassa'!AW44</f>
        <v>0</v>
      </c>
      <c r="CT44" s="524">
        <f>'3 Saalis'!CO81*'5 Kalan alkukäsittely satamassa'!AX44</f>
        <v>0</v>
      </c>
      <c r="CU44" s="524">
        <f>'3 Saalis'!CP81*'5 Kalan alkukäsittely satamassa'!AY44</f>
        <v>0</v>
      </c>
      <c r="CV44" s="524">
        <f>'3 Saalis'!CQ81*'5 Kalan alkukäsittely satamassa'!AZ44</f>
        <v>0</v>
      </c>
      <c r="CW44" s="524">
        <f>'3 Saalis'!CR81*'5 Kalan alkukäsittely satamassa'!BA44</f>
        <v>0</v>
      </c>
      <c r="CX44" s="524">
        <f>'3 Saalis'!CS81*'5 Kalan alkukäsittely satamassa'!BB44</f>
        <v>0</v>
      </c>
      <c r="CY44" s="524">
        <f>'3 Saalis'!CT81*'5 Kalan alkukäsittely satamassa'!BC44</f>
        <v>0</v>
      </c>
      <c r="CZ44" s="524">
        <f>'3 Saalis'!CU81*'5 Kalan alkukäsittely satamassa'!BD44</f>
        <v>0</v>
      </c>
      <c r="DA44" s="525">
        <f>'3 Saalis'!CV81*'5 Kalan alkukäsittely satamassa'!BE44</f>
        <v>0</v>
      </c>
      <c r="DC44" s="57" t="s">
        <v>114</v>
      </c>
      <c r="DD44" s="68"/>
      <c r="DE44" s="510">
        <f>SUM(DF44:DQ44)</f>
        <v>0</v>
      </c>
      <c r="DF44" s="514">
        <f>'3 Saalis'!CK103*'5 Kalan alkukäsittely satamassa'!AT44</f>
        <v>0</v>
      </c>
      <c r="DG44" s="524">
        <f>'3 Saalis'!CL103*'5 Kalan alkukäsittely satamassa'!AU44</f>
        <v>0</v>
      </c>
      <c r="DH44" s="524">
        <f>'3 Saalis'!CM103*'5 Kalan alkukäsittely satamassa'!AV44</f>
        <v>0</v>
      </c>
      <c r="DI44" s="524">
        <f>'3 Saalis'!CN103*'5 Kalan alkukäsittely satamassa'!AW44</f>
        <v>0</v>
      </c>
      <c r="DJ44" s="524">
        <f>'3 Saalis'!CO103*'5 Kalan alkukäsittely satamassa'!AX44</f>
        <v>0</v>
      </c>
      <c r="DK44" s="524">
        <f>'3 Saalis'!CP103*'5 Kalan alkukäsittely satamassa'!AY44</f>
        <v>0</v>
      </c>
      <c r="DL44" s="524">
        <f>'3 Saalis'!CQ103*'5 Kalan alkukäsittely satamassa'!AZ44</f>
        <v>0</v>
      </c>
      <c r="DM44" s="524">
        <f>'3 Saalis'!CR103*'5 Kalan alkukäsittely satamassa'!BA44</f>
        <v>0</v>
      </c>
      <c r="DN44" s="524">
        <f>'3 Saalis'!CS103*'5 Kalan alkukäsittely satamassa'!BB44</f>
        <v>0</v>
      </c>
      <c r="DO44" s="524">
        <f>'3 Saalis'!CT103*'5 Kalan alkukäsittely satamassa'!BC44</f>
        <v>0</v>
      </c>
      <c r="DP44" s="524">
        <f>'3 Saalis'!CU103*'5 Kalan alkukäsittely satamassa'!BD44</f>
        <v>0</v>
      </c>
      <c r="DQ44" s="525">
        <f>'3 Saalis'!CV103*'5 Kalan alkukäsittely satamassa'!BE44</f>
        <v>0</v>
      </c>
      <c r="DS44" s="57" t="s">
        <v>114</v>
      </c>
      <c r="DT44" s="68"/>
      <c r="DU44" s="510">
        <f>SUM(DV44:EG44)</f>
        <v>0</v>
      </c>
      <c r="DV44" s="514">
        <f>AT44*'3 Saalis'!CK125</f>
        <v>0</v>
      </c>
      <c r="DW44" s="524">
        <f>AU44*'3 Saalis'!CL125</f>
        <v>0</v>
      </c>
      <c r="DX44" s="524">
        <f>AV44*'3 Saalis'!CM125</f>
        <v>0</v>
      </c>
      <c r="DY44" s="524">
        <f>AW44*'3 Saalis'!CN125</f>
        <v>0</v>
      </c>
      <c r="DZ44" s="524">
        <f>AX44*'3 Saalis'!CO125</f>
        <v>0</v>
      </c>
      <c r="EA44" s="524">
        <f>AY44*'3 Saalis'!CP125</f>
        <v>0</v>
      </c>
      <c r="EB44" s="524">
        <f>AZ44*'3 Saalis'!CQ125</f>
        <v>0</v>
      </c>
      <c r="EC44" s="524">
        <f>BA44*'3 Saalis'!CR125</f>
        <v>0</v>
      </c>
      <c r="ED44" s="524">
        <f>BB44*'3 Saalis'!CS125</f>
        <v>0</v>
      </c>
      <c r="EE44" s="524">
        <f>BC44*'3 Saalis'!CT125</f>
        <v>0</v>
      </c>
      <c r="EF44" s="524">
        <f>BD44*'3 Saalis'!CU125</f>
        <v>0</v>
      </c>
      <c r="EG44" s="525">
        <f>BE44*'3 Saalis'!CV125</f>
        <v>0</v>
      </c>
      <c r="EI44" s="57" t="s">
        <v>114</v>
      </c>
      <c r="EJ44" s="68"/>
      <c r="EK44" s="510">
        <f>SUM(EL44:EW44)</f>
        <v>0</v>
      </c>
      <c r="EL44" s="514">
        <f>AT44*'3 Saalis'!CK147</f>
        <v>0</v>
      </c>
      <c r="EM44" s="524">
        <f>AU44*'3 Saalis'!CL147</f>
        <v>0</v>
      </c>
      <c r="EN44" s="524">
        <f>AV44*'3 Saalis'!CM147</f>
        <v>0</v>
      </c>
      <c r="EO44" s="524">
        <f>AW44*'3 Saalis'!CN147</f>
        <v>0</v>
      </c>
      <c r="EP44" s="524">
        <f>AX44*'3 Saalis'!CO147</f>
        <v>0</v>
      </c>
      <c r="EQ44" s="524">
        <f>AY44*'3 Saalis'!CP147</f>
        <v>0</v>
      </c>
      <c r="ER44" s="524">
        <f>AZ44*'3 Saalis'!CQ147</f>
        <v>0</v>
      </c>
      <c r="ES44" s="524">
        <f>BA44*'3 Saalis'!CR147</f>
        <v>0</v>
      </c>
      <c r="ET44" s="524">
        <f>BB44*'3 Saalis'!CS147</f>
        <v>0</v>
      </c>
      <c r="EU44" s="524">
        <f>BC44*'3 Saalis'!CT147</f>
        <v>0</v>
      </c>
      <c r="EV44" s="524">
        <f>BD44*'3 Saalis'!CU147</f>
        <v>0</v>
      </c>
      <c r="EW44" s="525">
        <f>BE44*'3 Saalis'!CV147</f>
        <v>0</v>
      </c>
    </row>
    <row r="45" spans="2:153" ht="13.5" customHeight="1" thickBot="1" x14ac:dyDescent="0.25">
      <c r="B45" s="1634" t="s">
        <v>382</v>
      </c>
      <c r="C45" s="5"/>
      <c r="D45" s="342" t="s">
        <v>70</v>
      </c>
      <c r="F45" s="1209" t="s">
        <v>548</v>
      </c>
      <c r="G45" s="365" t="s">
        <v>381</v>
      </c>
      <c r="I45" s="15"/>
      <c r="K45" s="57" t="s">
        <v>111</v>
      </c>
      <c r="L45" s="68"/>
      <c r="M45" s="510">
        <f>SUM(N45:Y45)</f>
        <v>0</v>
      </c>
      <c r="N45" s="514">
        <f>'4 Myynti'!E125+'4 Myynti'!E130</f>
        <v>0</v>
      </c>
      <c r="O45" s="524">
        <f>'4 Myynti'!F125+'4 Myynti'!F130</f>
        <v>0</v>
      </c>
      <c r="P45" s="524">
        <f>'4 Myynti'!G125+'4 Myynti'!G130</f>
        <v>0</v>
      </c>
      <c r="Q45" s="524">
        <f>'4 Myynti'!H125+'4 Myynti'!H130</f>
        <v>0</v>
      </c>
      <c r="R45" s="524">
        <f>'4 Myynti'!I125+'4 Myynti'!I130</f>
        <v>0</v>
      </c>
      <c r="S45" s="524">
        <f>'4 Myynti'!J125+'4 Myynti'!J130</f>
        <v>0</v>
      </c>
      <c r="T45" s="524">
        <f>'4 Myynti'!K125+'4 Myynti'!K130</f>
        <v>0</v>
      </c>
      <c r="U45" s="524">
        <f>'4 Myynti'!L125+'4 Myynti'!L130</f>
        <v>0</v>
      </c>
      <c r="V45" s="524">
        <f>'4 Myynti'!M125+'4 Myynti'!M130</f>
        <v>0</v>
      </c>
      <c r="W45" s="524">
        <f>'4 Myynti'!N125+'4 Myynti'!N130</f>
        <v>0</v>
      </c>
      <c r="X45" s="524">
        <f>'4 Myynti'!O125+'4 Myynti'!O130</f>
        <v>0</v>
      </c>
      <c r="Y45" s="525">
        <f>'4 Myynti'!P125+'4 Myynti'!P130</f>
        <v>0</v>
      </c>
      <c r="AA45" s="57" t="s">
        <v>111</v>
      </c>
      <c r="AB45" s="68"/>
      <c r="AC45" s="1392">
        <f>SUM(AD45:AO45)</f>
        <v>0</v>
      </c>
      <c r="AD45" s="514">
        <f t="shared" ref="AD45:AO45" si="28">N45/100*$F$38</f>
        <v>0</v>
      </c>
      <c r="AE45" s="524">
        <f t="shared" si="28"/>
        <v>0</v>
      </c>
      <c r="AF45" s="524">
        <f t="shared" si="28"/>
        <v>0</v>
      </c>
      <c r="AG45" s="524">
        <f t="shared" si="28"/>
        <v>0</v>
      </c>
      <c r="AH45" s="524">
        <f t="shared" si="28"/>
        <v>0</v>
      </c>
      <c r="AI45" s="524">
        <f t="shared" si="28"/>
        <v>0</v>
      </c>
      <c r="AJ45" s="524">
        <f t="shared" si="28"/>
        <v>0</v>
      </c>
      <c r="AK45" s="524">
        <f t="shared" si="28"/>
        <v>0</v>
      </c>
      <c r="AL45" s="524">
        <f t="shared" si="28"/>
        <v>0</v>
      </c>
      <c r="AM45" s="524">
        <f t="shared" si="28"/>
        <v>0</v>
      </c>
      <c r="AN45" s="524">
        <f t="shared" si="28"/>
        <v>0</v>
      </c>
      <c r="AO45" s="525">
        <f t="shared" si="28"/>
        <v>0</v>
      </c>
      <c r="AQ45" s="57" t="s">
        <v>111</v>
      </c>
      <c r="AR45" s="68"/>
      <c r="AS45" s="510">
        <f>SUM(AT45:BE45)</f>
        <v>0</v>
      </c>
      <c r="AT45" s="514">
        <f>AD45*'11. Työtunnit'!$C$7</f>
        <v>0</v>
      </c>
      <c r="AU45" s="524">
        <f>AE45*'11. Työtunnit'!$C$7</f>
        <v>0</v>
      </c>
      <c r="AV45" s="524">
        <f>AF45*'11. Työtunnit'!$C$7</f>
        <v>0</v>
      </c>
      <c r="AW45" s="524">
        <f>AG45*'11. Työtunnit'!$C$7</f>
        <v>0</v>
      </c>
      <c r="AX45" s="524">
        <f>AH45*'11. Työtunnit'!$C$7</f>
        <v>0</v>
      </c>
      <c r="AY45" s="524">
        <f>AI45*'11. Työtunnit'!$C$7</f>
        <v>0</v>
      </c>
      <c r="AZ45" s="524">
        <f>AJ45*'11. Työtunnit'!$C$7</f>
        <v>0</v>
      </c>
      <c r="BA45" s="524">
        <f>AK45*'11. Työtunnit'!$C$7</f>
        <v>0</v>
      </c>
      <c r="BB45" s="524">
        <f>AL45*'11. Työtunnit'!$C$7</f>
        <v>0</v>
      </c>
      <c r="BC45" s="524">
        <f>AM45*'11. Työtunnit'!$C$7</f>
        <v>0</v>
      </c>
      <c r="BD45" s="524">
        <f>AN45*'11. Työtunnit'!$C$7</f>
        <v>0</v>
      </c>
      <c r="BE45" s="525">
        <f>AO45*'11. Työtunnit'!$C$7</f>
        <v>0</v>
      </c>
      <c r="BG45" s="57" t="s">
        <v>111</v>
      </c>
      <c r="BH45" s="68"/>
      <c r="BI45" s="510">
        <f>SUM(BJ45:BU45)</f>
        <v>0</v>
      </c>
      <c r="BJ45" s="514">
        <f>AT45*'3 Saalis'!CK37</f>
        <v>0</v>
      </c>
      <c r="BK45" s="524">
        <f>AU45*'3 Saalis'!CL37</f>
        <v>0</v>
      </c>
      <c r="BL45" s="524">
        <f>AV45*'3 Saalis'!CM37</f>
        <v>0</v>
      </c>
      <c r="BM45" s="524">
        <f>AW45*'3 Saalis'!CN37</f>
        <v>0</v>
      </c>
      <c r="BN45" s="524">
        <f>AX45*'3 Saalis'!CO37</f>
        <v>0</v>
      </c>
      <c r="BO45" s="524">
        <f>AY45*'3 Saalis'!CP37</f>
        <v>0</v>
      </c>
      <c r="BP45" s="524">
        <f>AZ45*'3 Saalis'!CQ37</f>
        <v>0</v>
      </c>
      <c r="BQ45" s="524">
        <f>BA45*'3 Saalis'!CR37</f>
        <v>0</v>
      </c>
      <c r="BR45" s="524">
        <f>BB45*'3 Saalis'!CS37</f>
        <v>0</v>
      </c>
      <c r="BS45" s="524">
        <f>BC45*'3 Saalis'!CT37</f>
        <v>0</v>
      </c>
      <c r="BT45" s="524">
        <f>BD45*'3 Saalis'!CU37</f>
        <v>0</v>
      </c>
      <c r="BU45" s="525">
        <f>BE45*'3 Saalis'!CV37</f>
        <v>0</v>
      </c>
      <c r="BW45" s="57" t="s">
        <v>111</v>
      </c>
      <c r="BX45" s="68"/>
      <c r="BY45" s="510">
        <f>SUM(BZ45:CK45)</f>
        <v>0</v>
      </c>
      <c r="BZ45" s="514">
        <f>AT45*'3 Saalis'!CK59</f>
        <v>0</v>
      </c>
      <c r="CA45" s="524">
        <f>AU45*'3 Saalis'!CL59</f>
        <v>0</v>
      </c>
      <c r="CB45" s="524">
        <f>AV45*'3 Saalis'!CM59</f>
        <v>0</v>
      </c>
      <c r="CC45" s="524">
        <f>AW45*'3 Saalis'!CN59</f>
        <v>0</v>
      </c>
      <c r="CD45" s="524">
        <f>AX45*'3 Saalis'!CO59</f>
        <v>0</v>
      </c>
      <c r="CE45" s="524">
        <f>AY45*'3 Saalis'!CP59</f>
        <v>0</v>
      </c>
      <c r="CF45" s="524">
        <f>AZ45*'3 Saalis'!CQ59</f>
        <v>0</v>
      </c>
      <c r="CG45" s="524">
        <f>BA45*'3 Saalis'!CR59</f>
        <v>0</v>
      </c>
      <c r="CH45" s="524">
        <f>BB45*'3 Saalis'!CS59</f>
        <v>0</v>
      </c>
      <c r="CI45" s="524">
        <f>BC45*'3 Saalis'!CT59</f>
        <v>0</v>
      </c>
      <c r="CJ45" s="524">
        <f>BD45*'3 Saalis'!CU59</f>
        <v>0</v>
      </c>
      <c r="CK45" s="525">
        <f>BE45*'3 Saalis'!CV59</f>
        <v>0</v>
      </c>
      <c r="CM45" s="57" t="s">
        <v>111</v>
      </c>
      <c r="CN45" s="68"/>
      <c r="CO45" s="510">
        <f>SUM(CP45:DA45)</f>
        <v>0</v>
      </c>
      <c r="CP45" s="514">
        <f>'3 Saalis'!CK81*'5 Kalan alkukäsittely satamassa'!AT45</f>
        <v>0</v>
      </c>
      <c r="CQ45" s="524">
        <f>'3 Saalis'!CL81*'5 Kalan alkukäsittely satamassa'!AU45</f>
        <v>0</v>
      </c>
      <c r="CR45" s="524">
        <f>'3 Saalis'!CM81*'5 Kalan alkukäsittely satamassa'!AV45</f>
        <v>0</v>
      </c>
      <c r="CS45" s="524">
        <f>'3 Saalis'!CN81*'5 Kalan alkukäsittely satamassa'!AW45</f>
        <v>0</v>
      </c>
      <c r="CT45" s="524">
        <f>'3 Saalis'!CO81*'5 Kalan alkukäsittely satamassa'!AX45</f>
        <v>0</v>
      </c>
      <c r="CU45" s="524">
        <f>'3 Saalis'!CP81*'5 Kalan alkukäsittely satamassa'!AY45</f>
        <v>0</v>
      </c>
      <c r="CV45" s="524">
        <f>'3 Saalis'!CQ81*'5 Kalan alkukäsittely satamassa'!AZ45</f>
        <v>0</v>
      </c>
      <c r="CW45" s="524">
        <f>'3 Saalis'!CR81*'5 Kalan alkukäsittely satamassa'!BA45</f>
        <v>0</v>
      </c>
      <c r="CX45" s="524">
        <f>'3 Saalis'!CS81*'5 Kalan alkukäsittely satamassa'!BB45</f>
        <v>0</v>
      </c>
      <c r="CY45" s="524">
        <f>'3 Saalis'!CT81*'5 Kalan alkukäsittely satamassa'!BC45</f>
        <v>0</v>
      </c>
      <c r="CZ45" s="524">
        <f>'3 Saalis'!CU81*'5 Kalan alkukäsittely satamassa'!BD45</f>
        <v>0</v>
      </c>
      <c r="DA45" s="525">
        <f>'3 Saalis'!CV81*'5 Kalan alkukäsittely satamassa'!BE45</f>
        <v>0</v>
      </c>
      <c r="DC45" s="57" t="s">
        <v>111</v>
      </c>
      <c r="DD45" s="68"/>
      <c r="DE45" s="510">
        <f>SUM(DF45:DQ45)</f>
        <v>0</v>
      </c>
      <c r="DF45" s="514">
        <f>'3 Saalis'!CK103*'5 Kalan alkukäsittely satamassa'!AT45</f>
        <v>0</v>
      </c>
      <c r="DG45" s="524">
        <f>'3 Saalis'!CL103*'5 Kalan alkukäsittely satamassa'!AU45</f>
        <v>0</v>
      </c>
      <c r="DH45" s="524">
        <f>'3 Saalis'!CM103*'5 Kalan alkukäsittely satamassa'!AV45</f>
        <v>0</v>
      </c>
      <c r="DI45" s="524">
        <f>'3 Saalis'!CN103*'5 Kalan alkukäsittely satamassa'!AW45</f>
        <v>0</v>
      </c>
      <c r="DJ45" s="524">
        <f>'3 Saalis'!CO103*'5 Kalan alkukäsittely satamassa'!AX45</f>
        <v>0</v>
      </c>
      <c r="DK45" s="524">
        <f>'3 Saalis'!CP103*'5 Kalan alkukäsittely satamassa'!AY45</f>
        <v>0</v>
      </c>
      <c r="DL45" s="524">
        <f>'3 Saalis'!CQ103*'5 Kalan alkukäsittely satamassa'!AZ45</f>
        <v>0</v>
      </c>
      <c r="DM45" s="524">
        <f>'3 Saalis'!CR103*'5 Kalan alkukäsittely satamassa'!BA45</f>
        <v>0</v>
      </c>
      <c r="DN45" s="524">
        <f>'3 Saalis'!CS103*'5 Kalan alkukäsittely satamassa'!BB45</f>
        <v>0</v>
      </c>
      <c r="DO45" s="524">
        <f>'3 Saalis'!CT103*'5 Kalan alkukäsittely satamassa'!BC45</f>
        <v>0</v>
      </c>
      <c r="DP45" s="524">
        <f>'3 Saalis'!CU103*'5 Kalan alkukäsittely satamassa'!BD45</f>
        <v>0</v>
      </c>
      <c r="DQ45" s="525">
        <f>'3 Saalis'!CV103*'5 Kalan alkukäsittely satamassa'!BE45</f>
        <v>0</v>
      </c>
      <c r="DS45" s="57" t="s">
        <v>111</v>
      </c>
      <c r="DT45" s="68"/>
      <c r="DU45" s="510">
        <f>SUM(DV45:EG45)</f>
        <v>0</v>
      </c>
      <c r="DV45" s="514">
        <f>AT45*'3 Saalis'!CK125</f>
        <v>0</v>
      </c>
      <c r="DW45" s="524">
        <f>AU45*'3 Saalis'!CL125</f>
        <v>0</v>
      </c>
      <c r="DX45" s="524">
        <f>AV45*'3 Saalis'!CM125</f>
        <v>0</v>
      </c>
      <c r="DY45" s="524">
        <f>AW45*'3 Saalis'!CN125</f>
        <v>0</v>
      </c>
      <c r="DZ45" s="524">
        <f>AX45*'3 Saalis'!CO125</f>
        <v>0</v>
      </c>
      <c r="EA45" s="524">
        <f>AY45*'3 Saalis'!CP125</f>
        <v>0</v>
      </c>
      <c r="EB45" s="524">
        <f>AZ45*'3 Saalis'!CQ125</f>
        <v>0</v>
      </c>
      <c r="EC45" s="524">
        <f>BA45*'3 Saalis'!CR125</f>
        <v>0</v>
      </c>
      <c r="ED45" s="524">
        <f>BB45*'3 Saalis'!CS125</f>
        <v>0</v>
      </c>
      <c r="EE45" s="524">
        <f>BC45*'3 Saalis'!CT125</f>
        <v>0</v>
      </c>
      <c r="EF45" s="524">
        <f>BD45*'3 Saalis'!CU125</f>
        <v>0</v>
      </c>
      <c r="EG45" s="525">
        <f>BE45*'3 Saalis'!CV125</f>
        <v>0</v>
      </c>
      <c r="EI45" s="57" t="s">
        <v>111</v>
      </c>
      <c r="EJ45" s="68"/>
      <c r="EK45" s="510">
        <f>SUM(EL45:EW45)</f>
        <v>0</v>
      </c>
      <c r="EL45" s="514">
        <f>AT45*'3 Saalis'!CK147</f>
        <v>0</v>
      </c>
      <c r="EM45" s="524">
        <f>AU45*'3 Saalis'!CL147</f>
        <v>0</v>
      </c>
      <c r="EN45" s="524">
        <f>AV45*'3 Saalis'!CM147</f>
        <v>0</v>
      </c>
      <c r="EO45" s="524">
        <f>AW45*'3 Saalis'!CN147</f>
        <v>0</v>
      </c>
      <c r="EP45" s="524">
        <f>AX45*'3 Saalis'!CO147</f>
        <v>0</v>
      </c>
      <c r="EQ45" s="524">
        <f>AY45*'3 Saalis'!CP147</f>
        <v>0</v>
      </c>
      <c r="ER45" s="524">
        <f>AZ45*'3 Saalis'!CQ147</f>
        <v>0</v>
      </c>
      <c r="ES45" s="524">
        <f>BA45*'3 Saalis'!CR147</f>
        <v>0</v>
      </c>
      <c r="ET45" s="524">
        <f>BB45*'3 Saalis'!CS147</f>
        <v>0</v>
      </c>
      <c r="EU45" s="524">
        <f>BC45*'3 Saalis'!CT147</f>
        <v>0</v>
      </c>
      <c r="EV45" s="524">
        <f>BD45*'3 Saalis'!CU147</f>
        <v>0</v>
      </c>
      <c r="EW45" s="525">
        <f>BE45*'3 Saalis'!CV147</f>
        <v>0</v>
      </c>
    </row>
    <row r="46" spans="2:153" ht="13.5" thickBot="1" x14ac:dyDescent="0.25">
      <c r="B46" s="1635"/>
      <c r="C46" s="7"/>
      <c r="D46" s="933" t="s">
        <v>517</v>
      </c>
      <c r="F46" s="7"/>
      <c r="G46" s="1539">
        <v>50</v>
      </c>
      <c r="I46" s="15"/>
      <c r="K46" s="40" t="s">
        <v>178</v>
      </c>
      <c r="L46" s="76"/>
      <c r="M46" s="512">
        <f>SUM(N46:Y46)</f>
        <v>0</v>
      </c>
      <c r="N46" s="521">
        <f>'4 Myynti'!E126+'4 Myynti'!E131</f>
        <v>0</v>
      </c>
      <c r="O46" s="531">
        <f>'4 Myynti'!F126+'4 Myynti'!F131</f>
        <v>0</v>
      </c>
      <c r="P46" s="531">
        <f>'4 Myynti'!G126+'4 Myynti'!G131</f>
        <v>0</v>
      </c>
      <c r="Q46" s="531">
        <f>'4 Myynti'!H126+'4 Myynti'!H131</f>
        <v>0</v>
      </c>
      <c r="R46" s="531">
        <f>'4 Myynti'!I126+'4 Myynti'!I131</f>
        <v>0</v>
      </c>
      <c r="S46" s="531">
        <f>'4 Myynti'!J126+'4 Myynti'!J131</f>
        <v>0</v>
      </c>
      <c r="T46" s="531">
        <f>'4 Myynti'!K126+'4 Myynti'!K131</f>
        <v>0</v>
      </c>
      <c r="U46" s="531">
        <f>'4 Myynti'!L126+'4 Myynti'!L131</f>
        <v>0</v>
      </c>
      <c r="V46" s="531">
        <f>'4 Myynti'!M126+'4 Myynti'!M131</f>
        <v>0</v>
      </c>
      <c r="W46" s="531">
        <f>'4 Myynti'!N126+'4 Myynti'!N131</f>
        <v>0</v>
      </c>
      <c r="X46" s="531">
        <f>'4 Myynti'!O126+'4 Myynti'!O131</f>
        <v>0</v>
      </c>
      <c r="Y46" s="532">
        <f>'4 Myynti'!P126+'4 Myynti'!P131</f>
        <v>0</v>
      </c>
      <c r="AA46" s="40" t="s">
        <v>178</v>
      </c>
      <c r="AB46" s="76"/>
      <c r="AC46" s="1391">
        <f>SUM(AD46:AO46)</f>
        <v>0</v>
      </c>
      <c r="AD46" s="521">
        <f t="shared" ref="AD46:AO46" si="29">N46/100*$G$38</f>
        <v>0</v>
      </c>
      <c r="AE46" s="531">
        <f t="shared" si="29"/>
        <v>0</v>
      </c>
      <c r="AF46" s="531">
        <f t="shared" si="29"/>
        <v>0</v>
      </c>
      <c r="AG46" s="531">
        <f t="shared" si="29"/>
        <v>0</v>
      </c>
      <c r="AH46" s="531">
        <f t="shared" si="29"/>
        <v>0</v>
      </c>
      <c r="AI46" s="531">
        <f t="shared" si="29"/>
        <v>0</v>
      </c>
      <c r="AJ46" s="531">
        <f t="shared" si="29"/>
        <v>0</v>
      </c>
      <c r="AK46" s="531">
        <f t="shared" si="29"/>
        <v>0</v>
      </c>
      <c r="AL46" s="531">
        <f t="shared" si="29"/>
        <v>0</v>
      </c>
      <c r="AM46" s="531">
        <f t="shared" si="29"/>
        <v>0</v>
      </c>
      <c r="AN46" s="531">
        <f t="shared" si="29"/>
        <v>0</v>
      </c>
      <c r="AO46" s="532">
        <f t="shared" si="29"/>
        <v>0</v>
      </c>
      <c r="AQ46" s="40" t="s">
        <v>178</v>
      </c>
      <c r="AR46" s="76"/>
      <c r="AS46" s="512">
        <f>SUM(AT46:BE46)</f>
        <v>0</v>
      </c>
      <c r="AT46" s="521">
        <f>AD46*'11. Työtunnit'!$C$7</f>
        <v>0</v>
      </c>
      <c r="AU46" s="531">
        <f>AE46*'11. Työtunnit'!$C$7</f>
        <v>0</v>
      </c>
      <c r="AV46" s="531">
        <f>AF46*'11. Työtunnit'!$C$7</f>
        <v>0</v>
      </c>
      <c r="AW46" s="531">
        <f>AG46*'11. Työtunnit'!$C$7</f>
        <v>0</v>
      </c>
      <c r="AX46" s="531">
        <f>AH46*'11. Työtunnit'!$C$7</f>
        <v>0</v>
      </c>
      <c r="AY46" s="531">
        <f>AI46*'11. Työtunnit'!$C$7</f>
        <v>0</v>
      </c>
      <c r="AZ46" s="531">
        <f>AJ46*'11. Työtunnit'!$C$7</f>
        <v>0</v>
      </c>
      <c r="BA46" s="531">
        <f>AK46*'11. Työtunnit'!$C$7</f>
        <v>0</v>
      </c>
      <c r="BB46" s="531">
        <f>AL46*'11. Työtunnit'!$C$7</f>
        <v>0</v>
      </c>
      <c r="BC46" s="531">
        <f>AM46*'11. Työtunnit'!$C$7</f>
        <v>0</v>
      </c>
      <c r="BD46" s="531">
        <f>AN46*'11. Työtunnit'!$C$7</f>
        <v>0</v>
      </c>
      <c r="BE46" s="532">
        <f>AO46*'11. Työtunnit'!$C$7</f>
        <v>0</v>
      </c>
      <c r="BG46" s="40" t="s">
        <v>178</v>
      </c>
      <c r="BH46" s="76"/>
      <c r="BI46" s="512">
        <f>SUM(BJ46:BU46)</f>
        <v>0</v>
      </c>
      <c r="BJ46" s="521">
        <f>AT46*'3 Saalis'!CK37</f>
        <v>0</v>
      </c>
      <c r="BK46" s="531">
        <f>AU46*'3 Saalis'!CL37</f>
        <v>0</v>
      </c>
      <c r="BL46" s="531">
        <f>AV46*'3 Saalis'!CM37</f>
        <v>0</v>
      </c>
      <c r="BM46" s="531">
        <f>AW46*'3 Saalis'!CN37</f>
        <v>0</v>
      </c>
      <c r="BN46" s="531">
        <f>AX46*'3 Saalis'!CO37</f>
        <v>0</v>
      </c>
      <c r="BO46" s="531">
        <f>AY46*'3 Saalis'!CP37</f>
        <v>0</v>
      </c>
      <c r="BP46" s="531">
        <f>AZ46*'3 Saalis'!CQ37</f>
        <v>0</v>
      </c>
      <c r="BQ46" s="531">
        <f>BA46*'3 Saalis'!CR37</f>
        <v>0</v>
      </c>
      <c r="BR46" s="531">
        <f>BB46*'3 Saalis'!CS37</f>
        <v>0</v>
      </c>
      <c r="BS46" s="531">
        <f>BC46*'3 Saalis'!CT37</f>
        <v>0</v>
      </c>
      <c r="BT46" s="531">
        <f>BD46*'3 Saalis'!CU37</f>
        <v>0</v>
      </c>
      <c r="BU46" s="532">
        <f>BE46*'3 Saalis'!CV37</f>
        <v>0</v>
      </c>
      <c r="BW46" s="40" t="s">
        <v>178</v>
      </c>
      <c r="BX46" s="76"/>
      <c r="BY46" s="512">
        <f>SUM(BZ46:CK46)</f>
        <v>0</v>
      </c>
      <c r="BZ46" s="521">
        <f>AT46*'3 Saalis'!CK59</f>
        <v>0</v>
      </c>
      <c r="CA46" s="531">
        <f>AU46*'3 Saalis'!CL59</f>
        <v>0</v>
      </c>
      <c r="CB46" s="531">
        <f>AV46*'3 Saalis'!CM59</f>
        <v>0</v>
      </c>
      <c r="CC46" s="531">
        <f>AW46*'3 Saalis'!CN59</f>
        <v>0</v>
      </c>
      <c r="CD46" s="531">
        <f>AX46*'3 Saalis'!CO59</f>
        <v>0</v>
      </c>
      <c r="CE46" s="531">
        <f>AY46*'3 Saalis'!CP59</f>
        <v>0</v>
      </c>
      <c r="CF46" s="531">
        <f>AZ46*'3 Saalis'!CQ59</f>
        <v>0</v>
      </c>
      <c r="CG46" s="531">
        <f>BA46*'3 Saalis'!CR59</f>
        <v>0</v>
      </c>
      <c r="CH46" s="531">
        <f>BB46*'3 Saalis'!CS59</f>
        <v>0</v>
      </c>
      <c r="CI46" s="531">
        <f>BC46*'3 Saalis'!CT59</f>
        <v>0</v>
      </c>
      <c r="CJ46" s="531">
        <f>BD46*'3 Saalis'!CU59</f>
        <v>0</v>
      </c>
      <c r="CK46" s="532">
        <f>BE46*'3 Saalis'!CV59</f>
        <v>0</v>
      </c>
      <c r="CM46" s="40" t="s">
        <v>178</v>
      </c>
      <c r="CN46" s="76"/>
      <c r="CO46" s="512">
        <f>SUM(CP46:DA46)</f>
        <v>0</v>
      </c>
      <c r="CP46" s="521">
        <f>'3 Saalis'!CK81*'5 Kalan alkukäsittely satamassa'!AT46</f>
        <v>0</v>
      </c>
      <c r="CQ46" s="531">
        <f>'3 Saalis'!CL81*'5 Kalan alkukäsittely satamassa'!AU46</f>
        <v>0</v>
      </c>
      <c r="CR46" s="531">
        <f>'3 Saalis'!CM81*'5 Kalan alkukäsittely satamassa'!AV46</f>
        <v>0</v>
      </c>
      <c r="CS46" s="531">
        <f>'3 Saalis'!CN81*'5 Kalan alkukäsittely satamassa'!AW46</f>
        <v>0</v>
      </c>
      <c r="CT46" s="531">
        <f>'3 Saalis'!CO81*'5 Kalan alkukäsittely satamassa'!AX46</f>
        <v>0</v>
      </c>
      <c r="CU46" s="531">
        <f>'3 Saalis'!CP81*'5 Kalan alkukäsittely satamassa'!AY46</f>
        <v>0</v>
      </c>
      <c r="CV46" s="531">
        <f>'3 Saalis'!CQ81*'5 Kalan alkukäsittely satamassa'!AZ46</f>
        <v>0</v>
      </c>
      <c r="CW46" s="531">
        <f>'3 Saalis'!CR81*'5 Kalan alkukäsittely satamassa'!BA46</f>
        <v>0</v>
      </c>
      <c r="CX46" s="531">
        <f>'3 Saalis'!CS81*'5 Kalan alkukäsittely satamassa'!BB46</f>
        <v>0</v>
      </c>
      <c r="CY46" s="531">
        <f>'3 Saalis'!CT81*'5 Kalan alkukäsittely satamassa'!BC46</f>
        <v>0</v>
      </c>
      <c r="CZ46" s="531">
        <f>'3 Saalis'!CU81*'5 Kalan alkukäsittely satamassa'!BD46</f>
        <v>0</v>
      </c>
      <c r="DA46" s="532">
        <f>'3 Saalis'!CV81*'5 Kalan alkukäsittely satamassa'!BE46</f>
        <v>0</v>
      </c>
      <c r="DC46" s="40" t="s">
        <v>178</v>
      </c>
      <c r="DD46" s="76"/>
      <c r="DE46" s="512">
        <f>SUM(DF46:DQ46)</f>
        <v>0</v>
      </c>
      <c r="DF46" s="521">
        <f>'3 Saalis'!CK103*'5 Kalan alkukäsittely satamassa'!AT46</f>
        <v>0</v>
      </c>
      <c r="DG46" s="531">
        <f>'3 Saalis'!CL103*'5 Kalan alkukäsittely satamassa'!AU46</f>
        <v>0</v>
      </c>
      <c r="DH46" s="531">
        <f>'3 Saalis'!CM103*'5 Kalan alkukäsittely satamassa'!AV46</f>
        <v>0</v>
      </c>
      <c r="DI46" s="531">
        <f>'3 Saalis'!CN103*'5 Kalan alkukäsittely satamassa'!AW46</f>
        <v>0</v>
      </c>
      <c r="DJ46" s="531">
        <f>'3 Saalis'!CO103*'5 Kalan alkukäsittely satamassa'!AX46</f>
        <v>0</v>
      </c>
      <c r="DK46" s="531">
        <f>'3 Saalis'!CP103*'5 Kalan alkukäsittely satamassa'!AY46</f>
        <v>0</v>
      </c>
      <c r="DL46" s="531">
        <f>'3 Saalis'!CQ103*'5 Kalan alkukäsittely satamassa'!AZ46</f>
        <v>0</v>
      </c>
      <c r="DM46" s="531">
        <f>'3 Saalis'!CR103*'5 Kalan alkukäsittely satamassa'!BA46</f>
        <v>0</v>
      </c>
      <c r="DN46" s="531">
        <f>'3 Saalis'!CS103*'5 Kalan alkukäsittely satamassa'!BB46</f>
        <v>0</v>
      </c>
      <c r="DO46" s="531">
        <f>'3 Saalis'!CT103*'5 Kalan alkukäsittely satamassa'!BC46</f>
        <v>0</v>
      </c>
      <c r="DP46" s="531">
        <f>'3 Saalis'!CU103*'5 Kalan alkukäsittely satamassa'!BD46</f>
        <v>0</v>
      </c>
      <c r="DQ46" s="532">
        <f>'3 Saalis'!CV103*'5 Kalan alkukäsittely satamassa'!BE46</f>
        <v>0</v>
      </c>
      <c r="DS46" s="40" t="s">
        <v>178</v>
      </c>
      <c r="DT46" s="76"/>
      <c r="DU46" s="512">
        <f>SUM(DV46:EG46)</f>
        <v>0</v>
      </c>
      <c r="DV46" s="521">
        <f>AT46*'3 Saalis'!CK125</f>
        <v>0</v>
      </c>
      <c r="DW46" s="531">
        <f>AU46*'3 Saalis'!CL125</f>
        <v>0</v>
      </c>
      <c r="DX46" s="531">
        <f>AV46*'3 Saalis'!CM125</f>
        <v>0</v>
      </c>
      <c r="DY46" s="531">
        <f>AW46*'3 Saalis'!CN125</f>
        <v>0</v>
      </c>
      <c r="DZ46" s="531">
        <f>AX46*'3 Saalis'!CO125</f>
        <v>0</v>
      </c>
      <c r="EA46" s="531">
        <f>AY46*'3 Saalis'!CP125</f>
        <v>0</v>
      </c>
      <c r="EB46" s="531">
        <f>AZ46*'3 Saalis'!CQ125</f>
        <v>0</v>
      </c>
      <c r="EC46" s="531">
        <f>BA46*'3 Saalis'!CR125</f>
        <v>0</v>
      </c>
      <c r="ED46" s="531">
        <f>BB46*'3 Saalis'!CS125</f>
        <v>0</v>
      </c>
      <c r="EE46" s="531">
        <f>BC46*'3 Saalis'!CT125</f>
        <v>0</v>
      </c>
      <c r="EF46" s="531">
        <f>BD46*'3 Saalis'!CU125</f>
        <v>0</v>
      </c>
      <c r="EG46" s="532">
        <f>BE46*'3 Saalis'!CV125</f>
        <v>0</v>
      </c>
      <c r="EI46" s="40" t="s">
        <v>178</v>
      </c>
      <c r="EJ46" s="76"/>
      <c r="EK46" s="512">
        <f>SUM(EL46:EW46)</f>
        <v>0</v>
      </c>
      <c r="EL46" s="521">
        <f>AT46*'3 Saalis'!CK147</f>
        <v>0</v>
      </c>
      <c r="EM46" s="531">
        <f>AU46*'3 Saalis'!CL147</f>
        <v>0</v>
      </c>
      <c r="EN46" s="531">
        <f>AV46*'3 Saalis'!CM147</f>
        <v>0</v>
      </c>
      <c r="EO46" s="531">
        <f>AW46*'3 Saalis'!CN147</f>
        <v>0</v>
      </c>
      <c r="EP46" s="531">
        <f>AX46*'3 Saalis'!CO147</f>
        <v>0</v>
      </c>
      <c r="EQ46" s="531">
        <f>AY46*'3 Saalis'!CP147</f>
        <v>0</v>
      </c>
      <c r="ER46" s="531">
        <f>AZ46*'3 Saalis'!CQ147</f>
        <v>0</v>
      </c>
      <c r="ES46" s="531">
        <f>BA46*'3 Saalis'!CR147</f>
        <v>0</v>
      </c>
      <c r="ET46" s="531">
        <f>BB46*'3 Saalis'!CS147</f>
        <v>0</v>
      </c>
      <c r="EU46" s="531">
        <f>BC46*'3 Saalis'!CT147</f>
        <v>0</v>
      </c>
      <c r="EV46" s="531">
        <f>BD46*'3 Saalis'!CU147</f>
        <v>0</v>
      </c>
      <c r="EW46" s="532">
        <f>BE46*'3 Saalis'!CV147</f>
        <v>0</v>
      </c>
    </row>
    <row r="47" spans="2:153" ht="13.5" thickBot="1" x14ac:dyDescent="0.25">
      <c r="B47" s="3" t="s">
        <v>313</v>
      </c>
      <c r="C47" s="3"/>
      <c r="D47" s="1540">
        <v>0.1</v>
      </c>
      <c r="I47" s="15"/>
      <c r="M47" s="106"/>
      <c r="AC47" s="35"/>
      <c r="AS47" s="106"/>
      <c r="BW47"/>
      <c r="BX47"/>
      <c r="CM47"/>
      <c r="CN47"/>
      <c r="DE47" s="106"/>
      <c r="DF47" s="106"/>
      <c r="DG47" s="106"/>
      <c r="DH47" s="106"/>
      <c r="DI47" s="106"/>
      <c r="DJ47" s="106"/>
      <c r="DK47" s="106"/>
      <c r="DL47" s="106"/>
      <c r="DM47" s="106"/>
      <c r="DN47" s="106"/>
      <c r="DO47" s="106"/>
      <c r="DP47" s="106"/>
      <c r="DQ47" s="106"/>
      <c r="DU47" s="106"/>
      <c r="DV47" s="106"/>
      <c r="DW47" s="106"/>
      <c r="DX47" s="106"/>
      <c r="DY47" s="106"/>
      <c r="DZ47" s="106"/>
      <c r="EA47" s="106"/>
      <c r="EB47" s="106"/>
      <c r="EC47" s="106"/>
      <c r="ED47" s="106"/>
      <c r="EE47" s="106"/>
      <c r="EF47" s="106"/>
      <c r="EG47" s="106"/>
      <c r="EK47" s="106"/>
      <c r="EL47" s="106"/>
      <c r="EM47" s="106"/>
      <c r="EN47" s="106"/>
      <c r="EO47" s="106"/>
      <c r="EP47" s="106"/>
      <c r="EQ47" s="106"/>
      <c r="ER47" s="106"/>
      <c r="ES47" s="106"/>
      <c r="ET47" s="106"/>
      <c r="EU47" s="106"/>
      <c r="EV47" s="106"/>
      <c r="EW47" s="106"/>
    </row>
    <row r="48" spans="2:153" ht="13.5" thickBot="1" x14ac:dyDescent="0.25">
      <c r="B48" s="7" t="s">
        <v>93</v>
      </c>
      <c r="C48" s="7"/>
      <c r="D48" s="1539">
        <v>0.2</v>
      </c>
      <c r="I48" s="15"/>
      <c r="K48" s="5" t="s">
        <v>523</v>
      </c>
      <c r="L48" s="36"/>
      <c r="M48" s="136" t="str">
        <f>'4 Myynti'!D135</f>
        <v>Koko</v>
      </c>
      <c r="N48" s="47">
        <f>'4 Myynti'!E135</f>
        <v>0</v>
      </c>
      <c r="O48" s="48">
        <f>'4 Myynti'!F135</f>
        <v>0</v>
      </c>
      <c r="P48" s="48">
        <f>'4 Myynti'!G135</f>
        <v>0</v>
      </c>
      <c r="Q48" s="48">
        <f>'4 Myynti'!H135</f>
        <v>0</v>
      </c>
      <c r="R48" s="48">
        <f>'4 Myynti'!I135</f>
        <v>0</v>
      </c>
      <c r="S48" s="41" t="str">
        <f>'4 Myynti'!J135</f>
        <v>Kuukausittain</v>
      </c>
      <c r="T48" s="48"/>
      <c r="U48" s="48">
        <f>'4 Myynti'!L135</f>
        <v>0</v>
      </c>
      <c r="V48" s="48">
        <f>'4 Myynti'!M135</f>
        <v>0</v>
      </c>
      <c r="W48" s="48">
        <f>'4 Myynti'!N135</f>
        <v>0</v>
      </c>
      <c r="X48" s="48">
        <f>'4 Myynti'!O135</f>
        <v>0</v>
      </c>
      <c r="Y48" s="49">
        <f>'4 Myynti'!P135</f>
        <v>0</v>
      </c>
      <c r="AA48" s="5" t="s">
        <v>523</v>
      </c>
      <c r="AB48" s="36"/>
      <c r="AC48" s="1165" t="s">
        <v>40</v>
      </c>
      <c r="AD48" s="137">
        <v>0</v>
      </c>
      <c r="AE48" s="138">
        <v>0</v>
      </c>
      <c r="AF48" s="138">
        <v>0</v>
      </c>
      <c r="AG48" s="138">
        <v>0</v>
      </c>
      <c r="AH48" s="138">
        <v>0</v>
      </c>
      <c r="AI48" s="139" t="s">
        <v>42</v>
      </c>
      <c r="AJ48" s="138"/>
      <c r="AK48" s="138">
        <v>0</v>
      </c>
      <c r="AL48" s="138">
        <v>0</v>
      </c>
      <c r="AM48" s="138">
        <v>0</v>
      </c>
      <c r="AN48" s="138">
        <v>0</v>
      </c>
      <c r="AO48" s="140">
        <v>0</v>
      </c>
      <c r="AQ48" s="5" t="s">
        <v>523</v>
      </c>
      <c r="AR48" s="36"/>
      <c r="AS48" s="136" t="s">
        <v>40</v>
      </c>
      <c r="AT48" s="137">
        <v>0</v>
      </c>
      <c r="AU48" s="138">
        <v>0</v>
      </c>
      <c r="AV48" s="138">
        <v>0</v>
      </c>
      <c r="AW48" s="138">
        <v>0</v>
      </c>
      <c r="AX48" s="138">
        <v>0</v>
      </c>
      <c r="AY48" s="139" t="s">
        <v>42</v>
      </c>
      <c r="AZ48" s="138"/>
      <c r="BA48" s="138">
        <v>0</v>
      </c>
      <c r="BB48" s="138">
        <v>0</v>
      </c>
      <c r="BC48" s="138">
        <v>0</v>
      </c>
      <c r="BD48" s="138">
        <v>0</v>
      </c>
      <c r="BE48" s="140">
        <v>0</v>
      </c>
      <c r="BG48" s="5" t="s">
        <v>523</v>
      </c>
      <c r="BH48" s="36"/>
      <c r="BI48" s="136" t="s">
        <v>40</v>
      </c>
      <c r="BJ48" s="137">
        <v>0</v>
      </c>
      <c r="BK48" s="138">
        <v>0</v>
      </c>
      <c r="BL48" s="138">
        <v>0</v>
      </c>
      <c r="BM48" s="138">
        <v>0</v>
      </c>
      <c r="BN48" s="138">
        <v>0</v>
      </c>
      <c r="BO48" s="139" t="s">
        <v>42</v>
      </c>
      <c r="BP48" s="138"/>
      <c r="BQ48" s="138">
        <v>0</v>
      </c>
      <c r="BR48" s="138">
        <v>0</v>
      </c>
      <c r="BS48" s="138">
        <v>0</v>
      </c>
      <c r="BT48" s="138">
        <v>0</v>
      </c>
      <c r="BU48" s="140">
        <v>0</v>
      </c>
      <c r="BW48" s="5" t="s">
        <v>523</v>
      </c>
      <c r="BX48" s="36"/>
      <c r="BY48" s="136" t="s">
        <v>40</v>
      </c>
      <c r="BZ48" s="137">
        <v>0</v>
      </c>
      <c r="CA48" s="138">
        <v>0</v>
      </c>
      <c r="CB48" s="138">
        <v>0</v>
      </c>
      <c r="CC48" s="138">
        <v>0</v>
      </c>
      <c r="CD48" s="138">
        <v>0</v>
      </c>
      <c r="CE48" s="139" t="s">
        <v>42</v>
      </c>
      <c r="CF48" s="138"/>
      <c r="CG48" s="138">
        <v>0</v>
      </c>
      <c r="CH48" s="138">
        <v>0</v>
      </c>
      <c r="CI48" s="138">
        <v>0</v>
      </c>
      <c r="CJ48" s="138">
        <v>0</v>
      </c>
      <c r="CK48" s="140">
        <v>0</v>
      </c>
      <c r="CM48" s="5" t="s">
        <v>523</v>
      </c>
      <c r="CN48" s="36"/>
      <c r="CO48" s="136" t="s">
        <v>40</v>
      </c>
      <c r="CP48" s="137">
        <v>0</v>
      </c>
      <c r="CQ48" s="138">
        <v>0</v>
      </c>
      <c r="CR48" s="138">
        <v>0</v>
      </c>
      <c r="CS48" s="138">
        <v>0</v>
      </c>
      <c r="CT48" s="138">
        <v>0</v>
      </c>
      <c r="CU48" s="139" t="s">
        <v>42</v>
      </c>
      <c r="CV48" s="138"/>
      <c r="CW48" s="138">
        <v>0</v>
      </c>
      <c r="CX48" s="138">
        <v>0</v>
      </c>
      <c r="CY48" s="138">
        <v>0</v>
      </c>
      <c r="CZ48" s="138">
        <v>0</v>
      </c>
      <c r="DA48" s="140">
        <v>0</v>
      </c>
      <c r="DC48" s="5" t="s">
        <v>523</v>
      </c>
      <c r="DD48" s="36"/>
      <c r="DE48" s="136" t="s">
        <v>40</v>
      </c>
      <c r="DF48" s="137">
        <v>0</v>
      </c>
      <c r="DG48" s="138">
        <v>0</v>
      </c>
      <c r="DH48" s="138">
        <v>0</v>
      </c>
      <c r="DI48" s="138">
        <v>0</v>
      </c>
      <c r="DJ48" s="138">
        <v>0</v>
      </c>
      <c r="DK48" s="139" t="s">
        <v>42</v>
      </c>
      <c r="DL48" s="138"/>
      <c r="DM48" s="138">
        <v>0</v>
      </c>
      <c r="DN48" s="138">
        <v>0</v>
      </c>
      <c r="DO48" s="138">
        <v>0</v>
      </c>
      <c r="DP48" s="138">
        <v>0</v>
      </c>
      <c r="DQ48" s="140">
        <v>0</v>
      </c>
      <c r="DS48" s="5" t="s">
        <v>523</v>
      </c>
      <c r="DT48" s="36"/>
      <c r="DU48" s="136" t="s">
        <v>40</v>
      </c>
      <c r="DV48" s="137">
        <v>0</v>
      </c>
      <c r="DW48" s="138">
        <v>0</v>
      </c>
      <c r="DX48" s="138">
        <v>0</v>
      </c>
      <c r="DY48" s="138">
        <v>0</v>
      </c>
      <c r="DZ48" s="138">
        <v>0</v>
      </c>
      <c r="EA48" s="139" t="s">
        <v>42</v>
      </c>
      <c r="EB48" s="138"/>
      <c r="EC48" s="138">
        <v>0</v>
      </c>
      <c r="ED48" s="138">
        <v>0</v>
      </c>
      <c r="EE48" s="138">
        <v>0</v>
      </c>
      <c r="EF48" s="138">
        <v>0</v>
      </c>
      <c r="EG48" s="140">
        <v>0</v>
      </c>
      <c r="EI48" s="5" t="s">
        <v>523</v>
      </c>
      <c r="EJ48" s="36"/>
      <c r="EK48" s="136" t="s">
        <v>40</v>
      </c>
      <c r="EL48" s="137">
        <v>0</v>
      </c>
      <c r="EM48" s="138">
        <v>0</v>
      </c>
      <c r="EN48" s="138">
        <v>0</v>
      </c>
      <c r="EO48" s="138">
        <v>0</v>
      </c>
      <c r="EP48" s="138">
        <v>0</v>
      </c>
      <c r="EQ48" s="139" t="s">
        <v>42</v>
      </c>
      <c r="ER48" s="138"/>
      <c r="ES48" s="138">
        <v>0</v>
      </c>
      <c r="ET48" s="138">
        <v>0</v>
      </c>
      <c r="EU48" s="138">
        <v>0</v>
      </c>
      <c r="EV48" s="138">
        <v>0</v>
      </c>
      <c r="EW48" s="140">
        <v>0</v>
      </c>
    </row>
    <row r="49" spans="9:153" ht="13.5" thickBot="1" x14ac:dyDescent="0.25">
      <c r="I49" s="15"/>
      <c r="K49" s="57"/>
      <c r="L49" s="59"/>
      <c r="M49" s="141" t="str">
        <f>'4 Myynti'!D136</f>
        <v>kausi</v>
      </c>
      <c r="N49" s="72">
        <f>'4 Myynti'!E136</f>
        <v>1</v>
      </c>
      <c r="O49" s="70">
        <f>'4 Myynti'!F136</f>
        <v>2</v>
      </c>
      <c r="P49" s="70">
        <f>'4 Myynti'!G136</f>
        <v>3</v>
      </c>
      <c r="Q49" s="70">
        <f>'4 Myynti'!H136</f>
        <v>4</v>
      </c>
      <c r="R49" s="70">
        <f>'4 Myynti'!I136</f>
        <v>5</v>
      </c>
      <c r="S49" s="70">
        <f>'4 Myynti'!J136</f>
        <v>6</v>
      </c>
      <c r="T49" s="70">
        <f>'4 Myynti'!K136</f>
        <v>7</v>
      </c>
      <c r="U49" s="70">
        <f>'4 Myynti'!L136</f>
        <v>8</v>
      </c>
      <c r="V49" s="70">
        <f>'4 Myynti'!M136</f>
        <v>9</v>
      </c>
      <c r="W49" s="70">
        <f>'4 Myynti'!N136</f>
        <v>10</v>
      </c>
      <c r="X49" s="70">
        <f>'4 Myynti'!O136</f>
        <v>11</v>
      </c>
      <c r="Y49" s="71">
        <f>'4 Myynti'!P136</f>
        <v>12</v>
      </c>
      <c r="AA49" s="57"/>
      <c r="AB49" s="59"/>
      <c r="AC49" s="1166" t="s">
        <v>41</v>
      </c>
      <c r="AD49" s="142">
        <v>1</v>
      </c>
      <c r="AE49" s="143">
        <v>2</v>
      </c>
      <c r="AF49" s="143">
        <v>3</v>
      </c>
      <c r="AG49" s="143">
        <v>4</v>
      </c>
      <c r="AH49" s="143">
        <v>5</v>
      </c>
      <c r="AI49" s="143">
        <v>6</v>
      </c>
      <c r="AJ49" s="143">
        <v>7</v>
      </c>
      <c r="AK49" s="143">
        <v>8</v>
      </c>
      <c r="AL49" s="143">
        <v>9</v>
      </c>
      <c r="AM49" s="143">
        <v>10</v>
      </c>
      <c r="AN49" s="143">
        <v>11</v>
      </c>
      <c r="AO49" s="144">
        <v>12</v>
      </c>
      <c r="AQ49" s="57"/>
      <c r="AR49" s="59"/>
      <c r="AS49" s="141" t="s">
        <v>41</v>
      </c>
      <c r="AT49" s="142">
        <v>1</v>
      </c>
      <c r="AU49" s="143">
        <v>2</v>
      </c>
      <c r="AV49" s="143">
        <v>3</v>
      </c>
      <c r="AW49" s="143">
        <v>4</v>
      </c>
      <c r="AX49" s="143">
        <v>5</v>
      </c>
      <c r="AY49" s="143">
        <v>6</v>
      </c>
      <c r="AZ49" s="143">
        <v>7</v>
      </c>
      <c r="BA49" s="143">
        <v>8</v>
      </c>
      <c r="BB49" s="143">
        <v>9</v>
      </c>
      <c r="BC49" s="143">
        <v>10</v>
      </c>
      <c r="BD49" s="143">
        <v>11</v>
      </c>
      <c r="BE49" s="144">
        <v>12</v>
      </c>
      <c r="BG49" s="57"/>
      <c r="BH49" s="59"/>
      <c r="BI49" s="141" t="s">
        <v>41</v>
      </c>
      <c r="BJ49" s="142">
        <v>1</v>
      </c>
      <c r="BK49" s="143">
        <v>2</v>
      </c>
      <c r="BL49" s="143">
        <v>3</v>
      </c>
      <c r="BM49" s="143">
        <v>4</v>
      </c>
      <c r="BN49" s="143">
        <v>5</v>
      </c>
      <c r="BO49" s="143">
        <v>6</v>
      </c>
      <c r="BP49" s="143">
        <v>7</v>
      </c>
      <c r="BQ49" s="143">
        <v>8</v>
      </c>
      <c r="BR49" s="143">
        <v>9</v>
      </c>
      <c r="BS49" s="143">
        <v>10</v>
      </c>
      <c r="BT49" s="143">
        <v>11</v>
      </c>
      <c r="BU49" s="144">
        <v>12</v>
      </c>
      <c r="BW49" s="57"/>
      <c r="BX49" s="59"/>
      <c r="BY49" s="141" t="s">
        <v>41</v>
      </c>
      <c r="BZ49" s="142">
        <v>1</v>
      </c>
      <c r="CA49" s="143">
        <v>2</v>
      </c>
      <c r="CB49" s="143">
        <v>3</v>
      </c>
      <c r="CC49" s="143">
        <v>4</v>
      </c>
      <c r="CD49" s="143">
        <v>5</v>
      </c>
      <c r="CE49" s="143">
        <v>6</v>
      </c>
      <c r="CF49" s="143">
        <v>7</v>
      </c>
      <c r="CG49" s="143">
        <v>8</v>
      </c>
      <c r="CH49" s="143">
        <v>9</v>
      </c>
      <c r="CI49" s="143">
        <v>10</v>
      </c>
      <c r="CJ49" s="143">
        <v>11</v>
      </c>
      <c r="CK49" s="144">
        <v>12</v>
      </c>
      <c r="CM49" s="57"/>
      <c r="CN49" s="59"/>
      <c r="CO49" s="141" t="s">
        <v>41</v>
      </c>
      <c r="CP49" s="142">
        <v>1</v>
      </c>
      <c r="CQ49" s="143">
        <v>2</v>
      </c>
      <c r="CR49" s="143">
        <v>3</v>
      </c>
      <c r="CS49" s="143">
        <v>4</v>
      </c>
      <c r="CT49" s="143">
        <v>5</v>
      </c>
      <c r="CU49" s="143">
        <v>6</v>
      </c>
      <c r="CV49" s="143">
        <v>7</v>
      </c>
      <c r="CW49" s="143">
        <v>8</v>
      </c>
      <c r="CX49" s="143">
        <v>9</v>
      </c>
      <c r="CY49" s="143">
        <v>10</v>
      </c>
      <c r="CZ49" s="143">
        <v>11</v>
      </c>
      <c r="DA49" s="144">
        <v>12</v>
      </c>
      <c r="DC49" s="57"/>
      <c r="DD49" s="59"/>
      <c r="DE49" s="141" t="s">
        <v>41</v>
      </c>
      <c r="DF49" s="142">
        <v>1</v>
      </c>
      <c r="DG49" s="143">
        <v>2</v>
      </c>
      <c r="DH49" s="143">
        <v>3</v>
      </c>
      <c r="DI49" s="143">
        <v>4</v>
      </c>
      <c r="DJ49" s="143">
        <v>5</v>
      </c>
      <c r="DK49" s="143">
        <v>6</v>
      </c>
      <c r="DL49" s="143">
        <v>7</v>
      </c>
      <c r="DM49" s="143">
        <v>8</v>
      </c>
      <c r="DN49" s="143">
        <v>9</v>
      </c>
      <c r="DO49" s="143">
        <v>10</v>
      </c>
      <c r="DP49" s="143">
        <v>11</v>
      </c>
      <c r="DQ49" s="144">
        <v>12</v>
      </c>
      <c r="DS49" s="57"/>
      <c r="DT49" s="59"/>
      <c r="DU49" s="141" t="s">
        <v>41</v>
      </c>
      <c r="DV49" s="142">
        <v>1</v>
      </c>
      <c r="DW49" s="143">
        <v>2</v>
      </c>
      <c r="DX49" s="143">
        <v>3</v>
      </c>
      <c r="DY49" s="143">
        <v>4</v>
      </c>
      <c r="DZ49" s="143">
        <v>5</v>
      </c>
      <c r="EA49" s="143">
        <v>6</v>
      </c>
      <c r="EB49" s="143">
        <v>7</v>
      </c>
      <c r="EC49" s="143">
        <v>8</v>
      </c>
      <c r="ED49" s="143">
        <v>9</v>
      </c>
      <c r="EE49" s="143">
        <v>10</v>
      </c>
      <c r="EF49" s="143">
        <v>11</v>
      </c>
      <c r="EG49" s="144">
        <v>12</v>
      </c>
      <c r="EI49" s="57"/>
      <c r="EJ49" s="59"/>
      <c r="EK49" s="141" t="s">
        <v>41</v>
      </c>
      <c r="EL49" s="142">
        <v>1</v>
      </c>
      <c r="EM49" s="143">
        <v>2</v>
      </c>
      <c r="EN49" s="143">
        <v>3</v>
      </c>
      <c r="EO49" s="143">
        <v>4</v>
      </c>
      <c r="EP49" s="143">
        <v>5</v>
      </c>
      <c r="EQ49" s="143">
        <v>6</v>
      </c>
      <c r="ER49" s="143">
        <v>7</v>
      </c>
      <c r="ES49" s="143">
        <v>8</v>
      </c>
      <c r="ET49" s="143">
        <v>9</v>
      </c>
      <c r="EU49" s="143">
        <v>10</v>
      </c>
      <c r="EV49" s="143">
        <v>11</v>
      </c>
      <c r="EW49" s="144">
        <v>12</v>
      </c>
    </row>
    <row r="50" spans="9:153" x14ac:dyDescent="0.2">
      <c r="I50" s="15"/>
      <c r="K50" s="5" t="s">
        <v>110</v>
      </c>
      <c r="L50" s="13"/>
      <c r="M50" s="425">
        <f>SUM(N50:Y50)</f>
        <v>0</v>
      </c>
      <c r="N50" s="499">
        <f>'4 Myynti'!E138+'4 Myynti'!E140</f>
        <v>0</v>
      </c>
      <c r="O50" s="499">
        <f>'4 Myynti'!F138+'4 Myynti'!F140</f>
        <v>0</v>
      </c>
      <c r="P50" s="499">
        <f>'4 Myynti'!G138+'4 Myynti'!G140</f>
        <v>0</v>
      </c>
      <c r="Q50" s="499">
        <f>'4 Myynti'!H138+'4 Myynti'!H140</f>
        <v>0</v>
      </c>
      <c r="R50" s="499">
        <f>'4 Myynti'!I138+'4 Myynti'!I140</f>
        <v>0</v>
      </c>
      <c r="S50" s="499">
        <f>'4 Myynti'!J138+'4 Myynti'!J140</f>
        <v>0</v>
      </c>
      <c r="T50" s="499">
        <f>'4 Myynti'!K138+'4 Myynti'!K140</f>
        <v>0</v>
      </c>
      <c r="U50" s="499">
        <f>'4 Myynti'!L138+'4 Myynti'!L140</f>
        <v>0</v>
      </c>
      <c r="V50" s="499">
        <f>'4 Myynti'!M138+'4 Myynti'!M140</f>
        <v>0</v>
      </c>
      <c r="W50" s="499">
        <f>'4 Myynti'!N138+'4 Myynti'!N140</f>
        <v>0</v>
      </c>
      <c r="X50" s="499">
        <f>'4 Myynti'!O138+'4 Myynti'!O140</f>
        <v>0</v>
      </c>
      <c r="Y50" s="499">
        <f>'4 Myynti'!P138+'4 Myynti'!P140</f>
        <v>0</v>
      </c>
      <c r="AA50" s="5" t="s">
        <v>110</v>
      </c>
      <c r="AB50" s="13"/>
      <c r="AC50" s="1390">
        <f>SUM(AD50:AO50)</f>
        <v>0</v>
      </c>
      <c r="AD50" s="499">
        <f>$C$39*N50/100*$D$39</f>
        <v>0</v>
      </c>
      <c r="AE50" s="499">
        <f t="shared" ref="AE50:AO50" si="30">$C$39*O50/100*$D$39</f>
        <v>0</v>
      </c>
      <c r="AF50" s="499">
        <f t="shared" si="30"/>
        <v>0</v>
      </c>
      <c r="AG50" s="499">
        <f t="shared" si="30"/>
        <v>0</v>
      </c>
      <c r="AH50" s="499">
        <f t="shared" si="30"/>
        <v>0</v>
      </c>
      <c r="AI50" s="499">
        <f t="shared" si="30"/>
        <v>0</v>
      </c>
      <c r="AJ50" s="499">
        <f t="shared" si="30"/>
        <v>0</v>
      </c>
      <c r="AK50" s="499">
        <f t="shared" si="30"/>
        <v>0</v>
      </c>
      <c r="AL50" s="499">
        <f t="shared" si="30"/>
        <v>0</v>
      </c>
      <c r="AM50" s="499">
        <f t="shared" si="30"/>
        <v>0</v>
      </c>
      <c r="AN50" s="499">
        <f t="shared" si="30"/>
        <v>0</v>
      </c>
      <c r="AO50" s="499">
        <f t="shared" si="30"/>
        <v>0</v>
      </c>
      <c r="AQ50" s="5" t="s">
        <v>110</v>
      </c>
      <c r="AR50" s="13"/>
      <c r="AS50" s="425">
        <f>SUM(AT50:BE50)</f>
        <v>0</v>
      </c>
      <c r="AT50" s="499">
        <f>AD50*'11. Työtunnit'!$C$7</f>
        <v>0</v>
      </c>
      <c r="AU50" s="499">
        <f>AE50*'11. Työtunnit'!$C$7</f>
        <v>0</v>
      </c>
      <c r="AV50" s="499">
        <f>AF50*'11. Työtunnit'!$C$7</f>
        <v>0</v>
      </c>
      <c r="AW50" s="499">
        <f>AG50*'11. Työtunnit'!$C$7</f>
        <v>0</v>
      </c>
      <c r="AX50" s="499">
        <f>AH50*'11. Työtunnit'!$C$7</f>
        <v>0</v>
      </c>
      <c r="AY50" s="499">
        <f>AI50*'11. Työtunnit'!$C$7</f>
        <v>0</v>
      </c>
      <c r="AZ50" s="499">
        <f>AJ50*'11. Työtunnit'!$C$7</f>
        <v>0</v>
      </c>
      <c r="BA50" s="499">
        <f>AK50*'11. Työtunnit'!$C$7</f>
        <v>0</v>
      </c>
      <c r="BB50" s="499">
        <f>AL50*'11. Työtunnit'!$C$7</f>
        <v>0</v>
      </c>
      <c r="BC50" s="499">
        <f>AM50*'11. Työtunnit'!$C$7</f>
        <v>0</v>
      </c>
      <c r="BD50" s="499">
        <f>AN50*'11. Työtunnit'!$C$7</f>
        <v>0</v>
      </c>
      <c r="BE50" s="499">
        <f>AO50*'11. Työtunnit'!$C$7</f>
        <v>0</v>
      </c>
      <c r="BG50" s="5" t="s">
        <v>110</v>
      </c>
      <c r="BH50" s="13"/>
      <c r="BI50" s="425">
        <f>SUM(BJ50:BU50)</f>
        <v>0</v>
      </c>
      <c r="BJ50" s="499">
        <f>AT50*'3 Saalis'!CK38</f>
        <v>0</v>
      </c>
      <c r="BK50" s="499">
        <f>AU50*'3 Saalis'!CL38</f>
        <v>0</v>
      </c>
      <c r="BL50" s="499">
        <f>AV50*'3 Saalis'!CM38</f>
        <v>0</v>
      </c>
      <c r="BM50" s="499">
        <f>AW50*'3 Saalis'!CN38</f>
        <v>0</v>
      </c>
      <c r="BN50" s="499">
        <f>AX50*'3 Saalis'!CO38</f>
        <v>0</v>
      </c>
      <c r="BO50" s="499">
        <f>AY50*'3 Saalis'!CP38</f>
        <v>0</v>
      </c>
      <c r="BP50" s="499">
        <f>AZ50*'3 Saalis'!CQ38</f>
        <v>0</v>
      </c>
      <c r="BQ50" s="499">
        <f>BA50*'3 Saalis'!CR38</f>
        <v>0</v>
      </c>
      <c r="BR50" s="499">
        <f>BB50*'3 Saalis'!CS38</f>
        <v>0</v>
      </c>
      <c r="BS50" s="499">
        <f>BC50*'3 Saalis'!CT38</f>
        <v>0</v>
      </c>
      <c r="BT50" s="499">
        <f>BD50*'3 Saalis'!CU38</f>
        <v>0</v>
      </c>
      <c r="BU50" s="499">
        <f>BE50*'3 Saalis'!CV38</f>
        <v>0</v>
      </c>
      <c r="BW50" s="5" t="s">
        <v>110</v>
      </c>
      <c r="BX50" s="13"/>
      <c r="BY50" s="425">
        <f>SUM(BZ50:CK50)</f>
        <v>0</v>
      </c>
      <c r="BZ50" s="499">
        <f>AT50*'3 Saalis'!CK60</f>
        <v>0</v>
      </c>
      <c r="CA50" s="499">
        <f>AU50*'3 Saalis'!CL60</f>
        <v>0</v>
      </c>
      <c r="CB50" s="499">
        <f>AV50*'3 Saalis'!CM60</f>
        <v>0</v>
      </c>
      <c r="CC50" s="499">
        <f>AW50*'3 Saalis'!CN60</f>
        <v>0</v>
      </c>
      <c r="CD50" s="499">
        <f>AX50*'3 Saalis'!CO60</f>
        <v>0</v>
      </c>
      <c r="CE50" s="499">
        <f>AY50*'3 Saalis'!CP60</f>
        <v>0</v>
      </c>
      <c r="CF50" s="499">
        <f>AZ50*'3 Saalis'!CQ60</f>
        <v>0</v>
      </c>
      <c r="CG50" s="499">
        <f>BA50*'3 Saalis'!CR60</f>
        <v>0</v>
      </c>
      <c r="CH50" s="499">
        <f>BB50*'3 Saalis'!CS60</f>
        <v>0</v>
      </c>
      <c r="CI50" s="499">
        <f>BC50*'3 Saalis'!CT60</f>
        <v>0</v>
      </c>
      <c r="CJ50" s="499">
        <f>BD50*'3 Saalis'!CU60</f>
        <v>0</v>
      </c>
      <c r="CK50" s="499">
        <f>BE50*'3 Saalis'!CV60</f>
        <v>0</v>
      </c>
      <c r="CM50" s="5" t="s">
        <v>110</v>
      </c>
      <c r="CN50" s="13"/>
      <c r="CO50" s="425">
        <f>SUM(CP50:DA50)</f>
        <v>0</v>
      </c>
      <c r="CP50" s="499">
        <f>AT50*'3 Saalis'!CK82</f>
        <v>0</v>
      </c>
      <c r="CQ50" s="499">
        <f>AU50*'3 Saalis'!CL82</f>
        <v>0</v>
      </c>
      <c r="CR50" s="499">
        <f>AV50*'3 Saalis'!CM82</f>
        <v>0</v>
      </c>
      <c r="CS50" s="499">
        <f>AW50*'3 Saalis'!CN82</f>
        <v>0</v>
      </c>
      <c r="CT50" s="499">
        <f>AX50*'3 Saalis'!CO82</f>
        <v>0</v>
      </c>
      <c r="CU50" s="499">
        <f>AY50*'3 Saalis'!CP82</f>
        <v>0</v>
      </c>
      <c r="CV50" s="499">
        <f>AZ50*'3 Saalis'!CQ82</f>
        <v>0</v>
      </c>
      <c r="CW50" s="499">
        <f>BA50*'3 Saalis'!CR82</f>
        <v>0</v>
      </c>
      <c r="CX50" s="499">
        <f>BB50*'3 Saalis'!CS82</f>
        <v>0</v>
      </c>
      <c r="CY50" s="499">
        <f>BC50*'3 Saalis'!CT82</f>
        <v>0</v>
      </c>
      <c r="CZ50" s="499">
        <f>BD50*'3 Saalis'!CU82</f>
        <v>0</v>
      </c>
      <c r="DA50" s="499">
        <f>BE50*'3 Saalis'!CV82</f>
        <v>0</v>
      </c>
      <c r="DC50" s="5" t="s">
        <v>110</v>
      </c>
      <c r="DD50" s="13"/>
      <c r="DE50" s="425">
        <f>SUM(DF50:DQ50)</f>
        <v>0</v>
      </c>
      <c r="DF50" s="499">
        <f>AT50*'3 Saalis'!CK104</f>
        <v>0</v>
      </c>
      <c r="DG50" s="499">
        <f>AU50*'3 Saalis'!CL104</f>
        <v>0</v>
      </c>
      <c r="DH50" s="499">
        <f>AV50*'3 Saalis'!CM104</f>
        <v>0</v>
      </c>
      <c r="DI50" s="499">
        <f>AW50*'3 Saalis'!CN104</f>
        <v>0</v>
      </c>
      <c r="DJ50" s="499">
        <f>AX50*'3 Saalis'!CO104</f>
        <v>0</v>
      </c>
      <c r="DK50" s="499">
        <f>AY50*'3 Saalis'!CP104</f>
        <v>0</v>
      </c>
      <c r="DL50" s="499">
        <f>AZ50*'3 Saalis'!CQ104</f>
        <v>0</v>
      </c>
      <c r="DM50" s="499">
        <f>BA50*'3 Saalis'!CR104</f>
        <v>0</v>
      </c>
      <c r="DN50" s="499">
        <f>BB50*'3 Saalis'!CS104</f>
        <v>0</v>
      </c>
      <c r="DO50" s="499">
        <f>BC50*'3 Saalis'!CT104</f>
        <v>0</v>
      </c>
      <c r="DP50" s="499">
        <f>BD50*'3 Saalis'!CU104</f>
        <v>0</v>
      </c>
      <c r="DQ50" s="499">
        <f>BE50*'3 Saalis'!CV104</f>
        <v>0</v>
      </c>
      <c r="DS50" s="5" t="s">
        <v>110</v>
      </c>
      <c r="DT50" s="13"/>
      <c r="DU50" s="425">
        <f>SUM(DV50:EG50)</f>
        <v>0</v>
      </c>
      <c r="DV50" s="499">
        <f>AT50*'3 Saalis'!CK126</f>
        <v>0</v>
      </c>
      <c r="DW50" s="499">
        <f>AU50*'3 Saalis'!CL126</f>
        <v>0</v>
      </c>
      <c r="DX50" s="499">
        <f>AV50*'3 Saalis'!CM126</f>
        <v>0</v>
      </c>
      <c r="DY50" s="499">
        <f>AW50*'3 Saalis'!CN126</f>
        <v>0</v>
      </c>
      <c r="DZ50" s="499">
        <f>AX50*'3 Saalis'!CO126</f>
        <v>0</v>
      </c>
      <c r="EA50" s="499">
        <f>AY50*'3 Saalis'!CP126</f>
        <v>0</v>
      </c>
      <c r="EB50" s="499">
        <f>AZ50*'3 Saalis'!CQ126</f>
        <v>0</v>
      </c>
      <c r="EC50" s="499">
        <f>BA50*'3 Saalis'!CR126</f>
        <v>0</v>
      </c>
      <c r="ED50" s="499">
        <f>BB50*'3 Saalis'!CS126</f>
        <v>0</v>
      </c>
      <c r="EE50" s="499">
        <f>BC50*'3 Saalis'!CT126</f>
        <v>0</v>
      </c>
      <c r="EF50" s="499">
        <f>BD50*'3 Saalis'!CU126</f>
        <v>0</v>
      </c>
      <c r="EG50" s="499">
        <f>BE50*'3 Saalis'!CV126</f>
        <v>0</v>
      </c>
      <c r="EI50" s="5" t="s">
        <v>110</v>
      </c>
      <c r="EJ50" s="13"/>
      <c r="EK50" s="425">
        <f>SUM(EL50:EW50)</f>
        <v>0</v>
      </c>
      <c r="EL50" s="499">
        <f>AT50*'3 Saalis'!CK148</f>
        <v>0</v>
      </c>
      <c r="EM50" s="499">
        <f>AU50*'3 Saalis'!CL148</f>
        <v>0</v>
      </c>
      <c r="EN50" s="499">
        <f>AV50*'3 Saalis'!CM148</f>
        <v>0</v>
      </c>
      <c r="EO50" s="499">
        <f>AW50*'3 Saalis'!CN148</f>
        <v>0</v>
      </c>
      <c r="EP50" s="499">
        <f>AX50*'3 Saalis'!CO148</f>
        <v>0</v>
      </c>
      <c r="EQ50" s="499">
        <f>AY50*'3 Saalis'!CP148</f>
        <v>0</v>
      </c>
      <c r="ER50" s="499">
        <f>AZ50*'3 Saalis'!CQ148</f>
        <v>0</v>
      </c>
      <c r="ES50" s="499">
        <f>BA50*'3 Saalis'!CR148</f>
        <v>0</v>
      </c>
      <c r="ET50" s="499">
        <f>BB50*'3 Saalis'!CS148</f>
        <v>0</v>
      </c>
      <c r="EU50" s="499">
        <f>BC50*'3 Saalis'!CT148</f>
        <v>0</v>
      </c>
      <c r="EV50" s="499">
        <f>BD50*'3 Saalis'!CU148</f>
        <v>0</v>
      </c>
      <c r="EW50" s="499">
        <f>BE50*'3 Saalis'!CV148</f>
        <v>0</v>
      </c>
    </row>
    <row r="51" spans="9:153" ht="13.5" thickBot="1" x14ac:dyDescent="0.25">
      <c r="I51" s="15"/>
      <c r="K51" s="40" t="s">
        <v>111</v>
      </c>
      <c r="L51" s="76"/>
      <c r="M51" s="512">
        <f>SUM(N51:Y51)</f>
        <v>0</v>
      </c>
      <c r="N51" s="521">
        <f>'4 Myynti'!E139+'4 Myynti'!E141</f>
        <v>0</v>
      </c>
      <c r="O51" s="531">
        <f>'4 Myynti'!F139+'4 Myynti'!F141</f>
        <v>0</v>
      </c>
      <c r="P51" s="531">
        <f>'4 Myynti'!G139+'4 Myynti'!G141</f>
        <v>0</v>
      </c>
      <c r="Q51" s="531">
        <f>'4 Myynti'!H139+'4 Myynti'!H141</f>
        <v>0</v>
      </c>
      <c r="R51" s="531">
        <f>'4 Myynti'!I139+'4 Myynti'!I141</f>
        <v>0</v>
      </c>
      <c r="S51" s="531">
        <f>'4 Myynti'!J139+'4 Myynti'!J141</f>
        <v>0</v>
      </c>
      <c r="T51" s="531">
        <f>'4 Myynti'!K139+'4 Myynti'!K141</f>
        <v>0</v>
      </c>
      <c r="U51" s="531">
        <f>'4 Myynti'!L139+'4 Myynti'!L141</f>
        <v>0</v>
      </c>
      <c r="V51" s="531">
        <f>'4 Myynti'!M139+'4 Myynti'!M141</f>
        <v>0</v>
      </c>
      <c r="W51" s="531">
        <f>'4 Myynti'!N139+'4 Myynti'!N141</f>
        <v>0</v>
      </c>
      <c r="X51" s="531">
        <f>'4 Myynti'!O139+'4 Myynti'!O141</f>
        <v>0</v>
      </c>
      <c r="Y51" s="532">
        <f>'4 Myynti'!P139+'4 Myynti'!P141</f>
        <v>0</v>
      </c>
      <c r="AA51" s="40" t="s">
        <v>111</v>
      </c>
      <c r="AB51" s="76"/>
      <c r="AC51" s="1391">
        <f>SUM(AD51:AO51)</f>
        <v>0</v>
      </c>
      <c r="AD51" s="521">
        <f t="shared" ref="AD51:AO51" si="31">N51/100*$F$39</f>
        <v>0</v>
      </c>
      <c r="AE51" s="531">
        <f t="shared" si="31"/>
        <v>0</v>
      </c>
      <c r="AF51" s="531">
        <f t="shared" si="31"/>
        <v>0</v>
      </c>
      <c r="AG51" s="531">
        <f t="shared" si="31"/>
        <v>0</v>
      </c>
      <c r="AH51" s="531">
        <f t="shared" si="31"/>
        <v>0</v>
      </c>
      <c r="AI51" s="531">
        <f t="shared" si="31"/>
        <v>0</v>
      </c>
      <c r="AJ51" s="531">
        <f t="shared" si="31"/>
        <v>0</v>
      </c>
      <c r="AK51" s="531">
        <f t="shared" si="31"/>
        <v>0</v>
      </c>
      <c r="AL51" s="531">
        <f t="shared" si="31"/>
        <v>0</v>
      </c>
      <c r="AM51" s="531">
        <f t="shared" si="31"/>
        <v>0</v>
      </c>
      <c r="AN51" s="531">
        <f t="shared" si="31"/>
        <v>0</v>
      </c>
      <c r="AO51" s="532">
        <f t="shared" si="31"/>
        <v>0</v>
      </c>
      <c r="AQ51" s="40" t="s">
        <v>111</v>
      </c>
      <c r="AR51" s="76"/>
      <c r="AS51" s="512">
        <f>SUM(AT51:BE51)</f>
        <v>0</v>
      </c>
      <c r="AT51" s="521">
        <f>AD51*'11. Työtunnit'!$C$7</f>
        <v>0</v>
      </c>
      <c r="AU51" s="531">
        <f>AE51*'11. Työtunnit'!$C$7</f>
        <v>0</v>
      </c>
      <c r="AV51" s="531">
        <f>AF51*'11. Työtunnit'!$C$7</f>
        <v>0</v>
      </c>
      <c r="AW51" s="531">
        <f>AG51*'11. Työtunnit'!$C$7</f>
        <v>0</v>
      </c>
      <c r="AX51" s="531">
        <f>AH51*'11. Työtunnit'!$C$7</f>
        <v>0</v>
      </c>
      <c r="AY51" s="531">
        <f>AI51*'11. Työtunnit'!$C$7</f>
        <v>0</v>
      </c>
      <c r="AZ51" s="531">
        <f>AJ51*'11. Työtunnit'!$C$7</f>
        <v>0</v>
      </c>
      <c r="BA51" s="531">
        <f>AK51*'11. Työtunnit'!$C$7</f>
        <v>0</v>
      </c>
      <c r="BB51" s="531">
        <f>AL51*'11. Työtunnit'!$C$7</f>
        <v>0</v>
      </c>
      <c r="BC51" s="531">
        <f>AM51*'11. Työtunnit'!$C$7</f>
        <v>0</v>
      </c>
      <c r="BD51" s="531">
        <f>AN51*'11. Työtunnit'!$C$7</f>
        <v>0</v>
      </c>
      <c r="BE51" s="532">
        <f>AO51*'11. Työtunnit'!$C$7</f>
        <v>0</v>
      </c>
      <c r="BG51" s="40" t="s">
        <v>111</v>
      </c>
      <c r="BH51" s="76"/>
      <c r="BI51" s="512">
        <f>SUM(BJ51:BU51)</f>
        <v>0</v>
      </c>
      <c r="BJ51" s="521">
        <f>AT51*'3 Saalis'!CK38</f>
        <v>0</v>
      </c>
      <c r="BK51" s="531">
        <f>AU51*'3 Saalis'!CL38</f>
        <v>0</v>
      </c>
      <c r="BL51" s="531">
        <f>AV51*'3 Saalis'!CM38</f>
        <v>0</v>
      </c>
      <c r="BM51" s="531">
        <f>AW51*'3 Saalis'!CN38</f>
        <v>0</v>
      </c>
      <c r="BN51" s="531">
        <f>AX51*'3 Saalis'!CO38</f>
        <v>0</v>
      </c>
      <c r="BO51" s="531">
        <f>AY51*'3 Saalis'!CP38</f>
        <v>0</v>
      </c>
      <c r="BP51" s="531">
        <f>AZ51*'3 Saalis'!CQ38</f>
        <v>0</v>
      </c>
      <c r="BQ51" s="531">
        <f>BA51*'3 Saalis'!CR38</f>
        <v>0</v>
      </c>
      <c r="BR51" s="531">
        <f>BB51*'3 Saalis'!CS38</f>
        <v>0</v>
      </c>
      <c r="BS51" s="531">
        <f>BC51*'3 Saalis'!CT38</f>
        <v>0</v>
      </c>
      <c r="BT51" s="531">
        <f>BD51*'3 Saalis'!CU38</f>
        <v>0</v>
      </c>
      <c r="BU51" s="532">
        <f>BE51*'3 Saalis'!CV38</f>
        <v>0</v>
      </c>
      <c r="BW51" s="40" t="s">
        <v>111</v>
      </c>
      <c r="BX51" s="76"/>
      <c r="BY51" s="512">
        <f>SUM(BZ51:CK51)</f>
        <v>0</v>
      </c>
      <c r="BZ51" s="521">
        <f>AT51*'3 Saalis'!CK60</f>
        <v>0</v>
      </c>
      <c r="CA51" s="531">
        <f>AU51*'3 Saalis'!CL60</f>
        <v>0</v>
      </c>
      <c r="CB51" s="531">
        <f>AV51*'3 Saalis'!CM60</f>
        <v>0</v>
      </c>
      <c r="CC51" s="531">
        <f>AW51*'3 Saalis'!CN60</f>
        <v>0</v>
      </c>
      <c r="CD51" s="531">
        <f>AX51*'3 Saalis'!CO60</f>
        <v>0</v>
      </c>
      <c r="CE51" s="531">
        <f>AY51*'3 Saalis'!CP60</f>
        <v>0</v>
      </c>
      <c r="CF51" s="531">
        <f>AZ51*'3 Saalis'!CQ60</f>
        <v>0</v>
      </c>
      <c r="CG51" s="531">
        <f>BA51*'3 Saalis'!CR60</f>
        <v>0</v>
      </c>
      <c r="CH51" s="531">
        <f>BB51*'3 Saalis'!CS60</f>
        <v>0</v>
      </c>
      <c r="CI51" s="531">
        <f>BC51*'3 Saalis'!CT60</f>
        <v>0</v>
      </c>
      <c r="CJ51" s="531">
        <f>BD51*'3 Saalis'!CU60</f>
        <v>0</v>
      </c>
      <c r="CK51" s="532">
        <f>BE51*'3 Saalis'!CV60</f>
        <v>0</v>
      </c>
      <c r="CM51" s="40" t="s">
        <v>111</v>
      </c>
      <c r="CN51" s="76"/>
      <c r="CO51" s="512">
        <f>SUM(CP51:DA51)</f>
        <v>0</v>
      </c>
      <c r="CP51" s="521">
        <f>AT51*'3 Saalis'!CK82</f>
        <v>0</v>
      </c>
      <c r="CQ51" s="531">
        <f>AU51*'3 Saalis'!CL82</f>
        <v>0</v>
      </c>
      <c r="CR51" s="531">
        <f>AV51*'3 Saalis'!CM82</f>
        <v>0</v>
      </c>
      <c r="CS51" s="531">
        <f>AW51*'3 Saalis'!CN82</f>
        <v>0</v>
      </c>
      <c r="CT51" s="531">
        <f>AX51*'3 Saalis'!CO82</f>
        <v>0</v>
      </c>
      <c r="CU51" s="531">
        <f>AY51*'3 Saalis'!CP82</f>
        <v>0</v>
      </c>
      <c r="CV51" s="531">
        <f>AZ51*'3 Saalis'!CQ82</f>
        <v>0</v>
      </c>
      <c r="CW51" s="531">
        <f>BA51*'3 Saalis'!CR82</f>
        <v>0</v>
      </c>
      <c r="CX51" s="531">
        <f>BB51*'3 Saalis'!CS82</f>
        <v>0</v>
      </c>
      <c r="CY51" s="531">
        <f>BC51*'3 Saalis'!CT82</f>
        <v>0</v>
      </c>
      <c r="CZ51" s="531">
        <f>BD51*'3 Saalis'!CU82</f>
        <v>0</v>
      </c>
      <c r="DA51" s="532">
        <f>BE51*'3 Saalis'!CV82</f>
        <v>0</v>
      </c>
      <c r="DC51" s="40" t="s">
        <v>111</v>
      </c>
      <c r="DD51" s="76"/>
      <c r="DE51" s="512">
        <f>SUM(DF51:DQ51)</f>
        <v>0</v>
      </c>
      <c r="DF51" s="521">
        <f>AT51*'3 Saalis'!CK104</f>
        <v>0</v>
      </c>
      <c r="DG51" s="531">
        <f>AU51*'3 Saalis'!CL104</f>
        <v>0</v>
      </c>
      <c r="DH51" s="531">
        <f>AV51*'3 Saalis'!CM104</f>
        <v>0</v>
      </c>
      <c r="DI51" s="531">
        <f>AW51*'3 Saalis'!CN104</f>
        <v>0</v>
      </c>
      <c r="DJ51" s="531">
        <f>AX51*'3 Saalis'!CO104</f>
        <v>0</v>
      </c>
      <c r="DK51" s="531">
        <f>AY51*'3 Saalis'!CP104</f>
        <v>0</v>
      </c>
      <c r="DL51" s="531">
        <f>AZ51*'3 Saalis'!CQ104</f>
        <v>0</v>
      </c>
      <c r="DM51" s="531">
        <f>BA51*'3 Saalis'!CR104</f>
        <v>0</v>
      </c>
      <c r="DN51" s="531">
        <f>BB51*'3 Saalis'!CS104</f>
        <v>0</v>
      </c>
      <c r="DO51" s="531">
        <f>BC51*'3 Saalis'!CT104</f>
        <v>0</v>
      </c>
      <c r="DP51" s="531">
        <f>BD51*'3 Saalis'!CU104</f>
        <v>0</v>
      </c>
      <c r="DQ51" s="532">
        <f>BE51*'3 Saalis'!CV104</f>
        <v>0</v>
      </c>
      <c r="DS51" s="40" t="s">
        <v>111</v>
      </c>
      <c r="DT51" s="76"/>
      <c r="DU51" s="512">
        <f>SUM(DV51:EG51)</f>
        <v>0</v>
      </c>
      <c r="DV51" s="521">
        <f>AT51*'3 Saalis'!CK126</f>
        <v>0</v>
      </c>
      <c r="DW51" s="531">
        <f>AU51*'3 Saalis'!CL126</f>
        <v>0</v>
      </c>
      <c r="DX51" s="531">
        <f>AV51*'3 Saalis'!CM126</f>
        <v>0</v>
      </c>
      <c r="DY51" s="531">
        <f>AW51*'3 Saalis'!CN126</f>
        <v>0</v>
      </c>
      <c r="DZ51" s="531">
        <f>AX51*'3 Saalis'!CO126</f>
        <v>0</v>
      </c>
      <c r="EA51" s="531">
        <f>AY51*'3 Saalis'!CP126</f>
        <v>0</v>
      </c>
      <c r="EB51" s="531">
        <f>AZ51*'3 Saalis'!CQ126</f>
        <v>0</v>
      </c>
      <c r="EC51" s="531">
        <f>BA51*'3 Saalis'!CR126</f>
        <v>0</v>
      </c>
      <c r="ED51" s="531">
        <f>BB51*'3 Saalis'!CS126</f>
        <v>0</v>
      </c>
      <c r="EE51" s="531">
        <f>BC51*'3 Saalis'!CT126</f>
        <v>0</v>
      </c>
      <c r="EF51" s="531">
        <f>BD51*'3 Saalis'!CU126</f>
        <v>0</v>
      </c>
      <c r="EG51" s="532">
        <f>BE51*'3 Saalis'!CV126</f>
        <v>0</v>
      </c>
      <c r="EI51" s="40" t="s">
        <v>111</v>
      </c>
      <c r="EJ51" s="76"/>
      <c r="EK51" s="512">
        <f>SUM(EL51:EW51)</f>
        <v>0</v>
      </c>
      <c r="EL51" s="521">
        <f>AT51*'3 Saalis'!CK148</f>
        <v>0</v>
      </c>
      <c r="EM51" s="531">
        <f>AU51*'3 Saalis'!CL148</f>
        <v>0</v>
      </c>
      <c r="EN51" s="531">
        <f>AV51*'3 Saalis'!CM148</f>
        <v>0</v>
      </c>
      <c r="EO51" s="531">
        <f>AW51*'3 Saalis'!CN148</f>
        <v>0</v>
      </c>
      <c r="EP51" s="531">
        <f>AX51*'3 Saalis'!CO148</f>
        <v>0</v>
      </c>
      <c r="EQ51" s="531">
        <f>AY51*'3 Saalis'!CP148</f>
        <v>0</v>
      </c>
      <c r="ER51" s="531">
        <f>AZ51*'3 Saalis'!CQ148</f>
        <v>0</v>
      </c>
      <c r="ES51" s="531">
        <f>BA51*'3 Saalis'!CR148</f>
        <v>0</v>
      </c>
      <c r="ET51" s="531">
        <f>BB51*'3 Saalis'!CS148</f>
        <v>0</v>
      </c>
      <c r="EU51" s="531">
        <f>BC51*'3 Saalis'!CT148</f>
        <v>0</v>
      </c>
      <c r="EV51" s="531">
        <f>BD51*'3 Saalis'!CU148</f>
        <v>0</v>
      </c>
      <c r="EW51" s="532">
        <f>BE51*'3 Saalis'!CV148</f>
        <v>0</v>
      </c>
    </row>
    <row r="52" spans="9:153" ht="13.5" thickBot="1" x14ac:dyDescent="0.25">
      <c r="I52" s="15"/>
      <c r="M52" s="106"/>
      <c r="AC52" s="35"/>
      <c r="AS52" s="106"/>
      <c r="BW52"/>
      <c r="BX52"/>
      <c r="CM52"/>
      <c r="CN52"/>
      <c r="DE52" s="106"/>
      <c r="DF52" s="106"/>
      <c r="DG52" s="106"/>
      <c r="DH52" s="106"/>
      <c r="DI52" s="106"/>
      <c r="DJ52" s="106"/>
      <c r="DK52" s="106"/>
      <c r="DL52" s="106"/>
      <c r="DM52" s="106"/>
      <c r="DN52" s="106"/>
      <c r="DO52" s="106"/>
      <c r="DP52" s="106"/>
      <c r="DQ52" s="106"/>
      <c r="DU52" s="106"/>
      <c r="DV52" s="106"/>
      <c r="DW52" s="106"/>
      <c r="DX52" s="106"/>
      <c r="DY52" s="106"/>
      <c r="DZ52" s="106"/>
      <c r="EA52" s="106"/>
      <c r="EB52" s="106"/>
      <c r="EC52" s="106"/>
      <c r="ED52" s="106"/>
      <c r="EE52" s="106"/>
      <c r="EF52" s="106"/>
      <c r="EG52" s="106"/>
      <c r="EK52" s="106"/>
      <c r="EL52" s="106"/>
      <c r="EM52" s="106"/>
      <c r="EN52" s="106"/>
      <c r="EO52" s="106"/>
      <c r="EP52" s="106"/>
      <c r="EQ52" s="106"/>
      <c r="ER52" s="106"/>
      <c r="ES52" s="106"/>
      <c r="ET52" s="106"/>
      <c r="EU52" s="106"/>
      <c r="EV52" s="106"/>
      <c r="EW52" s="106"/>
    </row>
    <row r="53" spans="9:153" ht="13.5" thickBot="1" x14ac:dyDescent="0.25">
      <c r="I53" s="15"/>
      <c r="K53" s="5" t="s">
        <v>353</v>
      </c>
      <c r="L53" s="36"/>
      <c r="M53" s="136" t="str">
        <f>'4 Myynti'!D145</f>
        <v>Koko</v>
      </c>
      <c r="N53" s="47">
        <f>'4 Myynti'!E145</f>
        <v>0</v>
      </c>
      <c r="O53" s="48">
        <f>'4 Myynti'!F145</f>
        <v>0</v>
      </c>
      <c r="P53" s="48">
        <f>'4 Myynti'!G145</f>
        <v>0</v>
      </c>
      <c r="Q53" s="48">
        <f>'4 Myynti'!H145</f>
        <v>0</v>
      </c>
      <c r="R53" s="48">
        <f>'4 Myynti'!I145</f>
        <v>0</v>
      </c>
      <c r="S53" s="41" t="str">
        <f>'4 Myynti'!J145</f>
        <v>Kuukausittain</v>
      </c>
      <c r="T53" s="48"/>
      <c r="U53" s="48">
        <f>'4 Myynti'!L145</f>
        <v>0</v>
      </c>
      <c r="V53" s="48">
        <f>'4 Myynti'!M145</f>
        <v>0</v>
      </c>
      <c r="W53" s="48">
        <f>'4 Myynti'!N145</f>
        <v>0</v>
      </c>
      <c r="X53" s="48">
        <f>'4 Myynti'!O145</f>
        <v>0</v>
      </c>
      <c r="Y53" s="49">
        <f>'4 Myynti'!P145</f>
        <v>0</v>
      </c>
      <c r="AA53" s="5" t="s">
        <v>353</v>
      </c>
      <c r="AB53" s="36"/>
      <c r="AC53" s="1165" t="s">
        <v>40</v>
      </c>
      <c r="AD53" s="137">
        <v>0</v>
      </c>
      <c r="AE53" s="138">
        <v>0</v>
      </c>
      <c r="AF53" s="138">
        <v>0</v>
      </c>
      <c r="AG53" s="138">
        <v>0</v>
      </c>
      <c r="AH53" s="138">
        <v>0</v>
      </c>
      <c r="AI53" s="139" t="s">
        <v>42</v>
      </c>
      <c r="AJ53" s="138"/>
      <c r="AK53" s="138">
        <v>0</v>
      </c>
      <c r="AL53" s="138">
        <v>0</v>
      </c>
      <c r="AM53" s="138">
        <v>0</v>
      </c>
      <c r="AN53" s="138">
        <v>0</v>
      </c>
      <c r="AO53" s="140">
        <v>0</v>
      </c>
      <c r="AQ53" s="5" t="s">
        <v>353</v>
      </c>
      <c r="AR53" s="36"/>
      <c r="AS53" s="136" t="s">
        <v>40</v>
      </c>
      <c r="AT53" s="137">
        <v>0</v>
      </c>
      <c r="AU53" s="138">
        <v>0</v>
      </c>
      <c r="AV53" s="138">
        <v>0</v>
      </c>
      <c r="AW53" s="138">
        <v>0</v>
      </c>
      <c r="AX53" s="138">
        <v>0</v>
      </c>
      <c r="AY53" s="139" t="s">
        <v>42</v>
      </c>
      <c r="AZ53" s="138"/>
      <c r="BA53" s="138">
        <v>0</v>
      </c>
      <c r="BB53" s="138">
        <v>0</v>
      </c>
      <c r="BC53" s="138">
        <v>0</v>
      </c>
      <c r="BD53" s="138">
        <v>0</v>
      </c>
      <c r="BE53" s="140">
        <v>0</v>
      </c>
      <c r="BG53" s="5" t="s">
        <v>353</v>
      </c>
      <c r="BH53" s="36"/>
      <c r="BI53" s="136" t="s">
        <v>40</v>
      </c>
      <c r="BJ53" s="137">
        <v>0</v>
      </c>
      <c r="BK53" s="138">
        <v>0</v>
      </c>
      <c r="BL53" s="138">
        <v>0</v>
      </c>
      <c r="BM53" s="138">
        <v>0</v>
      </c>
      <c r="BN53" s="138">
        <v>0</v>
      </c>
      <c r="BO53" s="139" t="s">
        <v>42</v>
      </c>
      <c r="BP53" s="138"/>
      <c r="BQ53" s="138">
        <v>0</v>
      </c>
      <c r="BR53" s="138">
        <v>0</v>
      </c>
      <c r="BS53" s="138">
        <v>0</v>
      </c>
      <c r="BT53" s="138">
        <v>0</v>
      </c>
      <c r="BU53" s="140">
        <v>0</v>
      </c>
      <c r="BW53" s="5" t="s">
        <v>353</v>
      </c>
      <c r="BX53" s="36"/>
      <c r="BY53" s="136" t="s">
        <v>40</v>
      </c>
      <c r="BZ53" s="137">
        <v>0</v>
      </c>
      <c r="CA53" s="138">
        <v>0</v>
      </c>
      <c r="CB53" s="138">
        <v>0</v>
      </c>
      <c r="CC53" s="138">
        <v>0</v>
      </c>
      <c r="CD53" s="138">
        <v>0</v>
      </c>
      <c r="CE53" s="139" t="s">
        <v>42</v>
      </c>
      <c r="CF53" s="138"/>
      <c r="CG53" s="138">
        <v>0</v>
      </c>
      <c r="CH53" s="138">
        <v>0</v>
      </c>
      <c r="CI53" s="138">
        <v>0</v>
      </c>
      <c r="CJ53" s="138">
        <v>0</v>
      </c>
      <c r="CK53" s="140">
        <v>0</v>
      </c>
      <c r="CM53" s="5" t="s">
        <v>353</v>
      </c>
      <c r="CN53" s="36"/>
      <c r="CO53" s="136" t="s">
        <v>40</v>
      </c>
      <c r="CP53" s="137">
        <v>0</v>
      </c>
      <c r="CQ53" s="138">
        <v>0</v>
      </c>
      <c r="CR53" s="138">
        <v>0</v>
      </c>
      <c r="CS53" s="138">
        <v>0</v>
      </c>
      <c r="CT53" s="138">
        <v>0</v>
      </c>
      <c r="CU53" s="139" t="s">
        <v>42</v>
      </c>
      <c r="CV53" s="138"/>
      <c r="CW53" s="138">
        <v>0</v>
      </c>
      <c r="CX53" s="138">
        <v>0</v>
      </c>
      <c r="CY53" s="138">
        <v>0</v>
      </c>
      <c r="CZ53" s="138">
        <v>0</v>
      </c>
      <c r="DA53" s="140">
        <v>0</v>
      </c>
      <c r="DC53" s="5" t="s">
        <v>353</v>
      </c>
      <c r="DD53" s="36"/>
      <c r="DE53" s="136" t="s">
        <v>40</v>
      </c>
      <c r="DF53" s="137">
        <v>0</v>
      </c>
      <c r="DG53" s="138">
        <v>0</v>
      </c>
      <c r="DH53" s="138">
        <v>0</v>
      </c>
      <c r="DI53" s="138">
        <v>0</v>
      </c>
      <c r="DJ53" s="138">
        <v>0</v>
      </c>
      <c r="DK53" s="139" t="s">
        <v>42</v>
      </c>
      <c r="DL53" s="138"/>
      <c r="DM53" s="138">
        <v>0</v>
      </c>
      <c r="DN53" s="138">
        <v>0</v>
      </c>
      <c r="DO53" s="138">
        <v>0</v>
      </c>
      <c r="DP53" s="138">
        <v>0</v>
      </c>
      <c r="DQ53" s="140">
        <v>0</v>
      </c>
      <c r="DS53" s="5" t="s">
        <v>353</v>
      </c>
      <c r="DT53" s="36"/>
      <c r="DU53" s="136" t="s">
        <v>40</v>
      </c>
      <c r="DV53" s="137">
        <v>0</v>
      </c>
      <c r="DW53" s="138">
        <v>0</v>
      </c>
      <c r="DX53" s="138">
        <v>0</v>
      </c>
      <c r="DY53" s="138">
        <v>0</v>
      </c>
      <c r="DZ53" s="138">
        <v>0</v>
      </c>
      <c r="EA53" s="139" t="s">
        <v>42</v>
      </c>
      <c r="EB53" s="138"/>
      <c r="EC53" s="138">
        <v>0</v>
      </c>
      <c r="ED53" s="138">
        <v>0</v>
      </c>
      <c r="EE53" s="138">
        <v>0</v>
      </c>
      <c r="EF53" s="138">
        <v>0</v>
      </c>
      <c r="EG53" s="140">
        <v>0</v>
      </c>
      <c r="EI53" s="5" t="s">
        <v>353</v>
      </c>
      <c r="EJ53" s="36"/>
      <c r="EK53" s="136" t="s">
        <v>40</v>
      </c>
      <c r="EL53" s="137">
        <v>0</v>
      </c>
      <c r="EM53" s="138">
        <v>0</v>
      </c>
      <c r="EN53" s="138">
        <v>0</v>
      </c>
      <c r="EO53" s="138">
        <v>0</v>
      </c>
      <c r="EP53" s="138">
        <v>0</v>
      </c>
      <c r="EQ53" s="139" t="s">
        <v>42</v>
      </c>
      <c r="ER53" s="138"/>
      <c r="ES53" s="138">
        <v>0</v>
      </c>
      <c r="ET53" s="138">
        <v>0</v>
      </c>
      <c r="EU53" s="138">
        <v>0</v>
      </c>
      <c r="EV53" s="138">
        <v>0</v>
      </c>
      <c r="EW53" s="140">
        <v>0</v>
      </c>
    </row>
    <row r="54" spans="9:153" ht="13.5" thickBot="1" x14ac:dyDescent="0.25">
      <c r="I54" s="15"/>
      <c r="K54" s="57"/>
      <c r="L54" s="59"/>
      <c r="M54" s="141" t="str">
        <f>'4 Myynti'!D146</f>
        <v>kausi</v>
      </c>
      <c r="N54" s="72">
        <f>'4 Myynti'!E146</f>
        <v>1</v>
      </c>
      <c r="O54" s="70">
        <f>'4 Myynti'!F146</f>
        <v>2</v>
      </c>
      <c r="P54" s="70">
        <f>'4 Myynti'!G146</f>
        <v>3</v>
      </c>
      <c r="Q54" s="70">
        <f>'4 Myynti'!H146</f>
        <v>4</v>
      </c>
      <c r="R54" s="70">
        <f>'4 Myynti'!I146</f>
        <v>5</v>
      </c>
      <c r="S54" s="70">
        <f>'4 Myynti'!J146</f>
        <v>6</v>
      </c>
      <c r="T54" s="70">
        <f>'4 Myynti'!K146</f>
        <v>7</v>
      </c>
      <c r="U54" s="70">
        <f>'4 Myynti'!L146</f>
        <v>8</v>
      </c>
      <c r="V54" s="70">
        <f>'4 Myynti'!M146</f>
        <v>9</v>
      </c>
      <c r="W54" s="70">
        <f>'4 Myynti'!N146</f>
        <v>10</v>
      </c>
      <c r="X54" s="70">
        <f>'4 Myynti'!O146</f>
        <v>11</v>
      </c>
      <c r="Y54" s="71">
        <f>'4 Myynti'!P146</f>
        <v>12</v>
      </c>
      <c r="AA54" s="57"/>
      <c r="AB54" s="59"/>
      <c r="AC54" s="1166" t="s">
        <v>41</v>
      </c>
      <c r="AD54" s="142">
        <v>1</v>
      </c>
      <c r="AE54" s="143">
        <v>2</v>
      </c>
      <c r="AF54" s="143">
        <v>3</v>
      </c>
      <c r="AG54" s="143">
        <v>4</v>
      </c>
      <c r="AH54" s="143">
        <v>5</v>
      </c>
      <c r="AI54" s="143">
        <v>6</v>
      </c>
      <c r="AJ54" s="143">
        <v>7</v>
      </c>
      <c r="AK54" s="143">
        <v>8</v>
      </c>
      <c r="AL54" s="143">
        <v>9</v>
      </c>
      <c r="AM54" s="143">
        <v>10</v>
      </c>
      <c r="AN54" s="143">
        <v>11</v>
      </c>
      <c r="AO54" s="144">
        <v>12</v>
      </c>
      <c r="AQ54" s="57"/>
      <c r="AR54" s="59"/>
      <c r="AS54" s="141" t="s">
        <v>41</v>
      </c>
      <c r="AT54" s="142">
        <v>1</v>
      </c>
      <c r="AU54" s="143">
        <v>2</v>
      </c>
      <c r="AV54" s="143">
        <v>3</v>
      </c>
      <c r="AW54" s="143">
        <v>4</v>
      </c>
      <c r="AX54" s="143">
        <v>5</v>
      </c>
      <c r="AY54" s="143">
        <v>6</v>
      </c>
      <c r="AZ54" s="143">
        <v>7</v>
      </c>
      <c r="BA54" s="143">
        <v>8</v>
      </c>
      <c r="BB54" s="143">
        <v>9</v>
      </c>
      <c r="BC54" s="143">
        <v>10</v>
      </c>
      <c r="BD54" s="143">
        <v>11</v>
      </c>
      <c r="BE54" s="144">
        <v>12</v>
      </c>
      <c r="BG54" s="57"/>
      <c r="BH54" s="59"/>
      <c r="BI54" s="141" t="s">
        <v>41</v>
      </c>
      <c r="BJ54" s="142">
        <v>1</v>
      </c>
      <c r="BK54" s="143">
        <v>2</v>
      </c>
      <c r="BL54" s="143">
        <v>3</v>
      </c>
      <c r="BM54" s="143">
        <v>4</v>
      </c>
      <c r="BN54" s="143">
        <v>5</v>
      </c>
      <c r="BO54" s="143">
        <v>6</v>
      </c>
      <c r="BP54" s="143">
        <v>7</v>
      </c>
      <c r="BQ54" s="143">
        <v>8</v>
      </c>
      <c r="BR54" s="143">
        <v>9</v>
      </c>
      <c r="BS54" s="143">
        <v>10</v>
      </c>
      <c r="BT54" s="143">
        <v>11</v>
      </c>
      <c r="BU54" s="144">
        <v>12</v>
      </c>
      <c r="BW54" s="57"/>
      <c r="BX54" s="59"/>
      <c r="BY54" s="141" t="s">
        <v>41</v>
      </c>
      <c r="BZ54" s="142">
        <v>1</v>
      </c>
      <c r="CA54" s="143">
        <v>2</v>
      </c>
      <c r="CB54" s="143">
        <v>3</v>
      </c>
      <c r="CC54" s="143">
        <v>4</v>
      </c>
      <c r="CD54" s="143">
        <v>5</v>
      </c>
      <c r="CE54" s="143">
        <v>6</v>
      </c>
      <c r="CF54" s="143">
        <v>7</v>
      </c>
      <c r="CG54" s="143">
        <v>8</v>
      </c>
      <c r="CH54" s="143">
        <v>9</v>
      </c>
      <c r="CI54" s="143">
        <v>10</v>
      </c>
      <c r="CJ54" s="143">
        <v>11</v>
      </c>
      <c r="CK54" s="144">
        <v>12</v>
      </c>
      <c r="CM54" s="57"/>
      <c r="CN54" s="59"/>
      <c r="CO54" s="141" t="s">
        <v>41</v>
      </c>
      <c r="CP54" s="142">
        <v>1</v>
      </c>
      <c r="CQ54" s="143">
        <v>2</v>
      </c>
      <c r="CR54" s="143">
        <v>3</v>
      </c>
      <c r="CS54" s="143">
        <v>4</v>
      </c>
      <c r="CT54" s="143">
        <v>5</v>
      </c>
      <c r="CU54" s="143">
        <v>6</v>
      </c>
      <c r="CV54" s="143">
        <v>7</v>
      </c>
      <c r="CW54" s="143">
        <v>8</v>
      </c>
      <c r="CX54" s="143">
        <v>9</v>
      </c>
      <c r="CY54" s="143">
        <v>10</v>
      </c>
      <c r="CZ54" s="143">
        <v>11</v>
      </c>
      <c r="DA54" s="144">
        <v>12</v>
      </c>
      <c r="DC54" s="57"/>
      <c r="DD54" s="59"/>
      <c r="DE54" s="141" t="s">
        <v>41</v>
      </c>
      <c r="DF54" s="142">
        <v>1</v>
      </c>
      <c r="DG54" s="143">
        <v>2</v>
      </c>
      <c r="DH54" s="143">
        <v>3</v>
      </c>
      <c r="DI54" s="143">
        <v>4</v>
      </c>
      <c r="DJ54" s="143">
        <v>5</v>
      </c>
      <c r="DK54" s="143">
        <v>6</v>
      </c>
      <c r="DL54" s="143">
        <v>7</v>
      </c>
      <c r="DM54" s="143">
        <v>8</v>
      </c>
      <c r="DN54" s="143">
        <v>9</v>
      </c>
      <c r="DO54" s="143">
        <v>10</v>
      </c>
      <c r="DP54" s="143">
        <v>11</v>
      </c>
      <c r="DQ54" s="144">
        <v>12</v>
      </c>
      <c r="DS54" s="57"/>
      <c r="DT54" s="59"/>
      <c r="DU54" s="141" t="s">
        <v>41</v>
      </c>
      <c r="DV54" s="142">
        <v>1</v>
      </c>
      <c r="DW54" s="143">
        <v>2</v>
      </c>
      <c r="DX54" s="143">
        <v>3</v>
      </c>
      <c r="DY54" s="143">
        <v>4</v>
      </c>
      <c r="DZ54" s="143">
        <v>5</v>
      </c>
      <c r="EA54" s="143">
        <v>6</v>
      </c>
      <c r="EB54" s="143">
        <v>7</v>
      </c>
      <c r="EC54" s="143">
        <v>8</v>
      </c>
      <c r="ED54" s="143">
        <v>9</v>
      </c>
      <c r="EE54" s="143">
        <v>10</v>
      </c>
      <c r="EF54" s="143">
        <v>11</v>
      </c>
      <c r="EG54" s="144">
        <v>12</v>
      </c>
      <c r="EI54" s="57"/>
      <c r="EJ54" s="59"/>
      <c r="EK54" s="141" t="s">
        <v>41</v>
      </c>
      <c r="EL54" s="142">
        <v>1</v>
      </c>
      <c r="EM54" s="143">
        <v>2</v>
      </c>
      <c r="EN54" s="143">
        <v>3</v>
      </c>
      <c r="EO54" s="143">
        <v>4</v>
      </c>
      <c r="EP54" s="143">
        <v>5</v>
      </c>
      <c r="EQ54" s="143">
        <v>6</v>
      </c>
      <c r="ER54" s="143">
        <v>7</v>
      </c>
      <c r="ES54" s="143">
        <v>8</v>
      </c>
      <c r="ET54" s="143">
        <v>9</v>
      </c>
      <c r="EU54" s="143">
        <v>10</v>
      </c>
      <c r="EV54" s="143">
        <v>11</v>
      </c>
      <c r="EW54" s="144">
        <v>12</v>
      </c>
    </row>
    <row r="55" spans="9:153" x14ac:dyDescent="0.2">
      <c r="I55" s="15"/>
      <c r="K55" s="5" t="s">
        <v>110</v>
      </c>
      <c r="L55" s="13"/>
      <c r="M55" s="425">
        <f>SUM(N55:Y55)</f>
        <v>0</v>
      </c>
      <c r="N55" s="499">
        <f>'4 Myynti'!E149+'4 Myynti'!E153</f>
        <v>0</v>
      </c>
      <c r="O55" s="499">
        <f>'4 Myynti'!F149+'4 Myynti'!F153</f>
        <v>0</v>
      </c>
      <c r="P55" s="499">
        <f>'4 Myynti'!G149+'4 Myynti'!G153</f>
        <v>0</v>
      </c>
      <c r="Q55" s="499">
        <f>'4 Myynti'!H149+'4 Myynti'!H153</f>
        <v>0</v>
      </c>
      <c r="R55" s="499">
        <f>'4 Myynti'!I149+'4 Myynti'!I153</f>
        <v>0</v>
      </c>
      <c r="S55" s="499">
        <f>'4 Myynti'!J149+'4 Myynti'!J153</f>
        <v>0</v>
      </c>
      <c r="T55" s="499">
        <f>'4 Myynti'!K149+'4 Myynti'!K153</f>
        <v>0</v>
      </c>
      <c r="U55" s="499">
        <f>'4 Myynti'!L149+'4 Myynti'!L153</f>
        <v>0</v>
      </c>
      <c r="V55" s="499">
        <f>'4 Myynti'!M149+'4 Myynti'!M153</f>
        <v>0</v>
      </c>
      <c r="W55" s="499">
        <f>'4 Myynti'!N149+'4 Myynti'!N153</f>
        <v>0</v>
      </c>
      <c r="X55" s="499">
        <f>'4 Myynti'!O149+'4 Myynti'!O153</f>
        <v>0</v>
      </c>
      <c r="Y55" s="499">
        <f>'4 Myynti'!P149+'4 Myynti'!P153</f>
        <v>0</v>
      </c>
      <c r="AA55" s="5" t="s">
        <v>110</v>
      </c>
      <c r="AB55" s="13"/>
      <c r="AC55" s="1390">
        <f>SUM(AD55:AO55)</f>
        <v>0</v>
      </c>
      <c r="AD55" s="499">
        <f>$C$40*N55/100*$D$40</f>
        <v>0</v>
      </c>
      <c r="AE55" s="499">
        <f t="shared" ref="AE55:AO55" si="32">$C$40*O55/100*$D$40</f>
        <v>0</v>
      </c>
      <c r="AF55" s="499">
        <f t="shared" si="32"/>
        <v>0</v>
      </c>
      <c r="AG55" s="499">
        <f t="shared" si="32"/>
        <v>0</v>
      </c>
      <c r="AH55" s="499">
        <f t="shared" si="32"/>
        <v>0</v>
      </c>
      <c r="AI55" s="499">
        <f t="shared" si="32"/>
        <v>0</v>
      </c>
      <c r="AJ55" s="499">
        <f t="shared" si="32"/>
        <v>0</v>
      </c>
      <c r="AK55" s="499">
        <f t="shared" si="32"/>
        <v>0</v>
      </c>
      <c r="AL55" s="499">
        <f t="shared" si="32"/>
        <v>0</v>
      </c>
      <c r="AM55" s="499">
        <f t="shared" si="32"/>
        <v>0</v>
      </c>
      <c r="AN55" s="499">
        <f t="shared" si="32"/>
        <v>0</v>
      </c>
      <c r="AO55" s="499">
        <f t="shared" si="32"/>
        <v>0</v>
      </c>
      <c r="AQ55" s="5" t="s">
        <v>110</v>
      </c>
      <c r="AR55" s="13"/>
      <c r="AS55" s="425">
        <f>SUM(AT55:BE55)</f>
        <v>0</v>
      </c>
      <c r="AT55" s="499">
        <f>AD55*'11. Työtunnit'!$C$7</f>
        <v>0</v>
      </c>
      <c r="AU55" s="499">
        <f>AE55*'11. Työtunnit'!$C$7</f>
        <v>0</v>
      </c>
      <c r="AV55" s="499">
        <f>AF55*'11. Työtunnit'!$C$7</f>
        <v>0</v>
      </c>
      <c r="AW55" s="499">
        <f>AG55*'11. Työtunnit'!$C$7</f>
        <v>0</v>
      </c>
      <c r="AX55" s="499">
        <f>AH55*'11. Työtunnit'!$C$7</f>
        <v>0</v>
      </c>
      <c r="AY55" s="499">
        <f>AI55*'11. Työtunnit'!$C$7</f>
        <v>0</v>
      </c>
      <c r="AZ55" s="499">
        <f>AJ55*'11. Työtunnit'!$C$7</f>
        <v>0</v>
      </c>
      <c r="BA55" s="499">
        <f>AK55*'11. Työtunnit'!$C$7</f>
        <v>0</v>
      </c>
      <c r="BB55" s="499">
        <f>AL55*'11. Työtunnit'!$C$7</f>
        <v>0</v>
      </c>
      <c r="BC55" s="499">
        <f>AM55*'11. Työtunnit'!$C$7</f>
        <v>0</v>
      </c>
      <c r="BD55" s="499">
        <f>AN55*'11. Työtunnit'!$C$7</f>
        <v>0</v>
      </c>
      <c r="BE55" s="499">
        <f>AO55*'11. Työtunnit'!$C$7</f>
        <v>0</v>
      </c>
      <c r="BG55" s="5" t="s">
        <v>110</v>
      </c>
      <c r="BH55" s="13"/>
      <c r="BI55" s="425">
        <f>SUM(BJ55:BU55)</f>
        <v>0</v>
      </c>
      <c r="BJ55" s="499">
        <f>AT55*'3 Saalis'!CK39</f>
        <v>0</v>
      </c>
      <c r="BK55" s="499">
        <f>AU55*'3 Saalis'!CL39</f>
        <v>0</v>
      </c>
      <c r="BL55" s="499">
        <f>AV55*'3 Saalis'!CM39</f>
        <v>0</v>
      </c>
      <c r="BM55" s="499">
        <f>AW55*'3 Saalis'!CN39</f>
        <v>0</v>
      </c>
      <c r="BN55" s="499">
        <f>AX55*'3 Saalis'!CO39</f>
        <v>0</v>
      </c>
      <c r="BO55" s="499">
        <f>AY55*'3 Saalis'!CP39</f>
        <v>0</v>
      </c>
      <c r="BP55" s="499">
        <f>AZ55*'3 Saalis'!CQ39</f>
        <v>0</v>
      </c>
      <c r="BQ55" s="499">
        <f>BA55*'3 Saalis'!CR39</f>
        <v>0</v>
      </c>
      <c r="BR55" s="499">
        <f>BB55*'3 Saalis'!CS39</f>
        <v>0</v>
      </c>
      <c r="BS55" s="499">
        <f>BC55*'3 Saalis'!CT39</f>
        <v>0</v>
      </c>
      <c r="BT55" s="499">
        <f>BD55*'3 Saalis'!CU39</f>
        <v>0</v>
      </c>
      <c r="BU55" s="499">
        <f>BE55*'3 Saalis'!CV39</f>
        <v>0</v>
      </c>
      <c r="BW55" s="5" t="s">
        <v>110</v>
      </c>
      <c r="BX55" s="13"/>
      <c r="BY55" s="425">
        <f>SUM(BZ55:CK55)</f>
        <v>0</v>
      </c>
      <c r="BZ55" s="499">
        <f>AT55*'3 Saalis'!CK61</f>
        <v>0</v>
      </c>
      <c r="CA55" s="499">
        <f>AU55*'3 Saalis'!CL61</f>
        <v>0</v>
      </c>
      <c r="CB55" s="499">
        <f>AV55*'3 Saalis'!CM61</f>
        <v>0</v>
      </c>
      <c r="CC55" s="499">
        <f>AW55*'3 Saalis'!CN61</f>
        <v>0</v>
      </c>
      <c r="CD55" s="499">
        <f>AX55*'3 Saalis'!CO61</f>
        <v>0</v>
      </c>
      <c r="CE55" s="499">
        <f>AY55*'3 Saalis'!CP61</f>
        <v>0</v>
      </c>
      <c r="CF55" s="499">
        <f>AZ55*'3 Saalis'!CQ61</f>
        <v>0</v>
      </c>
      <c r="CG55" s="499">
        <f>BA55*'3 Saalis'!CR61</f>
        <v>0</v>
      </c>
      <c r="CH55" s="499">
        <f>BB55*'3 Saalis'!CS61</f>
        <v>0</v>
      </c>
      <c r="CI55" s="499">
        <f>BC55*'3 Saalis'!CT61</f>
        <v>0</v>
      </c>
      <c r="CJ55" s="499">
        <f>BD55*'3 Saalis'!CU61</f>
        <v>0</v>
      </c>
      <c r="CK55" s="499">
        <f>BE55*'3 Saalis'!CV61</f>
        <v>0</v>
      </c>
      <c r="CM55" s="5" t="s">
        <v>110</v>
      </c>
      <c r="CN55" s="13"/>
      <c r="CO55" s="425">
        <f>SUM(CP55:DA55)</f>
        <v>0</v>
      </c>
      <c r="CP55" s="499">
        <f>AT55*'3 Saalis'!CK83</f>
        <v>0</v>
      </c>
      <c r="CQ55" s="499">
        <f>AU55*'3 Saalis'!CL83</f>
        <v>0</v>
      </c>
      <c r="CR55" s="499">
        <f>AV55*'3 Saalis'!CM83</f>
        <v>0</v>
      </c>
      <c r="CS55" s="499">
        <f>AW55*'3 Saalis'!CN83</f>
        <v>0</v>
      </c>
      <c r="CT55" s="499">
        <f>AX55*'3 Saalis'!CO83</f>
        <v>0</v>
      </c>
      <c r="CU55" s="499">
        <f>AY55*'3 Saalis'!CP83</f>
        <v>0</v>
      </c>
      <c r="CV55" s="499">
        <f>AZ55*'3 Saalis'!CQ83</f>
        <v>0</v>
      </c>
      <c r="CW55" s="499">
        <f>BA55*'3 Saalis'!CR83</f>
        <v>0</v>
      </c>
      <c r="CX55" s="499">
        <f>BB55*'3 Saalis'!CS83</f>
        <v>0</v>
      </c>
      <c r="CY55" s="499">
        <f>BC55*'3 Saalis'!CT83</f>
        <v>0</v>
      </c>
      <c r="CZ55" s="499">
        <f>BD55*'3 Saalis'!CU83</f>
        <v>0</v>
      </c>
      <c r="DA55" s="499">
        <f>BE55*'3 Saalis'!CV83</f>
        <v>0</v>
      </c>
      <c r="DC55" s="5" t="s">
        <v>110</v>
      </c>
      <c r="DD55" s="13"/>
      <c r="DE55" s="425">
        <f>SUM(DF55:DQ55)</f>
        <v>0</v>
      </c>
      <c r="DF55" s="499">
        <f>AT55*'3 Saalis'!CK105</f>
        <v>0</v>
      </c>
      <c r="DG55" s="499">
        <f>AU55*'3 Saalis'!CL105</f>
        <v>0</v>
      </c>
      <c r="DH55" s="499">
        <f>AV55*'3 Saalis'!CM105</f>
        <v>0</v>
      </c>
      <c r="DI55" s="499">
        <f>AW55*'3 Saalis'!CN105</f>
        <v>0</v>
      </c>
      <c r="DJ55" s="499">
        <f>AX55*'3 Saalis'!CO105</f>
        <v>0</v>
      </c>
      <c r="DK55" s="499">
        <f>AY55*'3 Saalis'!CP105</f>
        <v>0</v>
      </c>
      <c r="DL55" s="499">
        <f>AZ55*'3 Saalis'!CQ105</f>
        <v>0</v>
      </c>
      <c r="DM55" s="499">
        <f>BA55*'3 Saalis'!CR105</f>
        <v>0</v>
      </c>
      <c r="DN55" s="499">
        <f>BB55*'3 Saalis'!CS105</f>
        <v>0</v>
      </c>
      <c r="DO55" s="499">
        <f>BC55*'3 Saalis'!CT105</f>
        <v>0</v>
      </c>
      <c r="DP55" s="499">
        <f>BD55*'3 Saalis'!CU105</f>
        <v>0</v>
      </c>
      <c r="DQ55" s="499">
        <f>BE55*'3 Saalis'!CV105</f>
        <v>0</v>
      </c>
      <c r="DS55" s="5" t="s">
        <v>110</v>
      </c>
      <c r="DT55" s="13"/>
      <c r="DU55" s="425">
        <f>SUM(DV55:EG55)</f>
        <v>0</v>
      </c>
      <c r="DV55" s="499">
        <f>AT55*'3 Saalis'!CK127</f>
        <v>0</v>
      </c>
      <c r="DW55" s="499">
        <f>AU55*'3 Saalis'!CL127</f>
        <v>0</v>
      </c>
      <c r="DX55" s="499">
        <f>AV55*'3 Saalis'!CM127</f>
        <v>0</v>
      </c>
      <c r="DY55" s="499">
        <f>AW55*'3 Saalis'!CN127</f>
        <v>0</v>
      </c>
      <c r="DZ55" s="499">
        <f>AX55*'3 Saalis'!CO127</f>
        <v>0</v>
      </c>
      <c r="EA55" s="499">
        <f>AY55*'3 Saalis'!CP127</f>
        <v>0</v>
      </c>
      <c r="EB55" s="499">
        <f>AZ55*'3 Saalis'!CQ127</f>
        <v>0</v>
      </c>
      <c r="EC55" s="499">
        <f>BA55*'3 Saalis'!CR127</f>
        <v>0</v>
      </c>
      <c r="ED55" s="499">
        <f>BB55*'3 Saalis'!CS127</f>
        <v>0</v>
      </c>
      <c r="EE55" s="499">
        <f>BC55*'3 Saalis'!CT127</f>
        <v>0</v>
      </c>
      <c r="EF55" s="499">
        <f>BD55*'3 Saalis'!CU127</f>
        <v>0</v>
      </c>
      <c r="EG55" s="499">
        <f>BE55*'3 Saalis'!CV127</f>
        <v>0</v>
      </c>
      <c r="EI55" s="5" t="s">
        <v>110</v>
      </c>
      <c r="EJ55" s="13"/>
      <c r="EK55" s="425">
        <f>SUM(EL55:EW55)</f>
        <v>0</v>
      </c>
      <c r="EL55" s="499">
        <f>AT55*'3 Saalis'!CK149</f>
        <v>0</v>
      </c>
      <c r="EM55" s="499">
        <f>AU55*'3 Saalis'!CL149</f>
        <v>0</v>
      </c>
      <c r="EN55" s="499">
        <f>AV55*'3 Saalis'!CM149</f>
        <v>0</v>
      </c>
      <c r="EO55" s="499">
        <f>AW55*'3 Saalis'!CN149</f>
        <v>0</v>
      </c>
      <c r="EP55" s="499">
        <f>AX55*'3 Saalis'!CO149</f>
        <v>0</v>
      </c>
      <c r="EQ55" s="499">
        <f>AY55*'3 Saalis'!CP149</f>
        <v>0</v>
      </c>
      <c r="ER55" s="499">
        <f>AZ55*'3 Saalis'!CQ149</f>
        <v>0</v>
      </c>
      <c r="ES55" s="499">
        <f>BA55*'3 Saalis'!CR149</f>
        <v>0</v>
      </c>
      <c r="ET55" s="499">
        <f>BB55*'3 Saalis'!CS149</f>
        <v>0</v>
      </c>
      <c r="EU55" s="499">
        <f>BC55*'3 Saalis'!CT149</f>
        <v>0</v>
      </c>
      <c r="EV55" s="499">
        <f>BD55*'3 Saalis'!CU149</f>
        <v>0</v>
      </c>
      <c r="EW55" s="499">
        <f>BE55*'3 Saalis'!CV149</f>
        <v>0</v>
      </c>
    </row>
    <row r="56" spans="9:153" ht="13.5" thickBot="1" x14ac:dyDescent="0.25">
      <c r="I56" s="15"/>
      <c r="K56" s="40" t="s">
        <v>111</v>
      </c>
      <c r="L56" s="76"/>
      <c r="M56" s="512">
        <f>SUM(N56:Y56)</f>
        <v>0</v>
      </c>
      <c r="N56" s="521">
        <f>'4 Myynti'!E150+'4 Myynti'!E154</f>
        <v>0</v>
      </c>
      <c r="O56" s="531">
        <f>'4 Myynti'!F150+'4 Myynti'!F154</f>
        <v>0</v>
      </c>
      <c r="P56" s="531">
        <f>'4 Myynti'!G150+'4 Myynti'!G154</f>
        <v>0</v>
      </c>
      <c r="Q56" s="531">
        <f>'4 Myynti'!H150+'4 Myynti'!H154</f>
        <v>0</v>
      </c>
      <c r="R56" s="531">
        <f>'4 Myynti'!I150+'4 Myynti'!I154</f>
        <v>0</v>
      </c>
      <c r="S56" s="531">
        <f>'4 Myynti'!J150+'4 Myynti'!J154</f>
        <v>0</v>
      </c>
      <c r="T56" s="531">
        <f>'4 Myynti'!K150+'4 Myynti'!K154</f>
        <v>0</v>
      </c>
      <c r="U56" s="531">
        <f>'4 Myynti'!L150+'4 Myynti'!L154</f>
        <v>0</v>
      </c>
      <c r="V56" s="531">
        <f>'4 Myynti'!M150+'4 Myynti'!M154</f>
        <v>0</v>
      </c>
      <c r="W56" s="531">
        <f>'4 Myynti'!N150+'4 Myynti'!N154</f>
        <v>0</v>
      </c>
      <c r="X56" s="531">
        <f>'4 Myynti'!O150+'4 Myynti'!O154</f>
        <v>0</v>
      </c>
      <c r="Y56" s="532">
        <f>'4 Myynti'!P150+'4 Myynti'!P154</f>
        <v>0</v>
      </c>
      <c r="AA56" s="40" t="s">
        <v>111</v>
      </c>
      <c r="AB56" s="76"/>
      <c r="AC56" s="1391">
        <f>SUM(AD56:AO56)</f>
        <v>0</v>
      </c>
      <c r="AD56" s="521">
        <f t="shared" ref="AD56:AO56" si="33">N56/100*$F$40</f>
        <v>0</v>
      </c>
      <c r="AE56" s="531">
        <f t="shared" si="33"/>
        <v>0</v>
      </c>
      <c r="AF56" s="531">
        <f t="shared" si="33"/>
        <v>0</v>
      </c>
      <c r="AG56" s="531">
        <f t="shared" si="33"/>
        <v>0</v>
      </c>
      <c r="AH56" s="531">
        <f t="shared" si="33"/>
        <v>0</v>
      </c>
      <c r="AI56" s="531">
        <f t="shared" si="33"/>
        <v>0</v>
      </c>
      <c r="AJ56" s="531">
        <f t="shared" si="33"/>
        <v>0</v>
      </c>
      <c r="AK56" s="531">
        <f t="shared" si="33"/>
        <v>0</v>
      </c>
      <c r="AL56" s="531">
        <f t="shared" si="33"/>
        <v>0</v>
      </c>
      <c r="AM56" s="531">
        <f t="shared" si="33"/>
        <v>0</v>
      </c>
      <c r="AN56" s="531">
        <f t="shared" si="33"/>
        <v>0</v>
      </c>
      <c r="AO56" s="532">
        <f t="shared" si="33"/>
        <v>0</v>
      </c>
      <c r="AQ56" s="40" t="s">
        <v>111</v>
      </c>
      <c r="AR56" s="76"/>
      <c r="AS56" s="512">
        <f>SUM(AT56:BE56)</f>
        <v>0</v>
      </c>
      <c r="AT56" s="521">
        <f>AD56*'11. Työtunnit'!$C$7</f>
        <v>0</v>
      </c>
      <c r="AU56" s="531">
        <f>AE56*'11. Työtunnit'!$C$7</f>
        <v>0</v>
      </c>
      <c r="AV56" s="531">
        <f>AF56*'11. Työtunnit'!$C$7</f>
        <v>0</v>
      </c>
      <c r="AW56" s="531">
        <f>AG56*'11. Työtunnit'!$C$7</f>
        <v>0</v>
      </c>
      <c r="AX56" s="531">
        <f>AH56*'11. Työtunnit'!$C$7</f>
        <v>0</v>
      </c>
      <c r="AY56" s="531">
        <f>AI56*'11. Työtunnit'!$C$7</f>
        <v>0</v>
      </c>
      <c r="AZ56" s="531">
        <f>AJ56*'11. Työtunnit'!$C$7</f>
        <v>0</v>
      </c>
      <c r="BA56" s="531">
        <f>AK56*'11. Työtunnit'!$C$7</f>
        <v>0</v>
      </c>
      <c r="BB56" s="531">
        <f>AL56*'11. Työtunnit'!$C$7</f>
        <v>0</v>
      </c>
      <c r="BC56" s="531">
        <f>AM56*'11. Työtunnit'!$C$7</f>
        <v>0</v>
      </c>
      <c r="BD56" s="531">
        <f>AN56*'11. Työtunnit'!$C$7</f>
        <v>0</v>
      </c>
      <c r="BE56" s="532">
        <f>AO56*'11. Työtunnit'!$C$7</f>
        <v>0</v>
      </c>
      <c r="BG56" s="40" t="s">
        <v>111</v>
      </c>
      <c r="BH56" s="76"/>
      <c r="BI56" s="512">
        <f>SUM(BJ56:BU56)</f>
        <v>0</v>
      </c>
      <c r="BJ56" s="521">
        <f>AT56*'3 Saalis'!CK39</f>
        <v>0</v>
      </c>
      <c r="BK56" s="531">
        <f>AU56*'3 Saalis'!CL39</f>
        <v>0</v>
      </c>
      <c r="BL56" s="531">
        <f>AV56*'3 Saalis'!CM39</f>
        <v>0</v>
      </c>
      <c r="BM56" s="531">
        <f>AW56*'3 Saalis'!CN39</f>
        <v>0</v>
      </c>
      <c r="BN56" s="531">
        <f>AX56*'3 Saalis'!CO39</f>
        <v>0</v>
      </c>
      <c r="BO56" s="531">
        <f>AY56*'3 Saalis'!CP39</f>
        <v>0</v>
      </c>
      <c r="BP56" s="531">
        <f>AZ56*'3 Saalis'!CQ39</f>
        <v>0</v>
      </c>
      <c r="BQ56" s="531">
        <f>BA56*'3 Saalis'!CR39</f>
        <v>0</v>
      </c>
      <c r="BR56" s="531">
        <f>BB56*'3 Saalis'!CS39</f>
        <v>0</v>
      </c>
      <c r="BS56" s="531">
        <f>BC56*'3 Saalis'!CT39</f>
        <v>0</v>
      </c>
      <c r="BT56" s="531">
        <f>BD56*'3 Saalis'!CU39</f>
        <v>0</v>
      </c>
      <c r="BU56" s="532">
        <f>BE56*'3 Saalis'!CV39</f>
        <v>0</v>
      </c>
      <c r="BW56" s="40" t="s">
        <v>111</v>
      </c>
      <c r="BX56" s="76"/>
      <c r="BY56" s="512">
        <f>SUM(BZ56:CK56)</f>
        <v>0</v>
      </c>
      <c r="BZ56" s="521">
        <f>AT56*'3 Saalis'!CK61</f>
        <v>0</v>
      </c>
      <c r="CA56" s="531">
        <f>AU56*'3 Saalis'!CL61</f>
        <v>0</v>
      </c>
      <c r="CB56" s="531">
        <f>AV56*'3 Saalis'!CM61</f>
        <v>0</v>
      </c>
      <c r="CC56" s="531">
        <f>AW56*'3 Saalis'!CN61</f>
        <v>0</v>
      </c>
      <c r="CD56" s="531">
        <f>AX56*'3 Saalis'!CO61</f>
        <v>0</v>
      </c>
      <c r="CE56" s="531">
        <f>AY56*'3 Saalis'!CP61</f>
        <v>0</v>
      </c>
      <c r="CF56" s="531">
        <f>AZ56*'3 Saalis'!CQ61</f>
        <v>0</v>
      </c>
      <c r="CG56" s="531">
        <f>BA56*'3 Saalis'!CR61</f>
        <v>0</v>
      </c>
      <c r="CH56" s="531">
        <f>BB56*'3 Saalis'!CS61</f>
        <v>0</v>
      </c>
      <c r="CI56" s="531">
        <f>BC56*'3 Saalis'!CT61</f>
        <v>0</v>
      </c>
      <c r="CJ56" s="531">
        <f>BD56*'3 Saalis'!CU61</f>
        <v>0</v>
      </c>
      <c r="CK56" s="532">
        <f>BE56*'3 Saalis'!CV61</f>
        <v>0</v>
      </c>
      <c r="CM56" s="40" t="s">
        <v>111</v>
      </c>
      <c r="CN56" s="76"/>
      <c r="CO56" s="512">
        <f>SUM(CP56:DA56)</f>
        <v>0</v>
      </c>
      <c r="CP56" s="521">
        <f>AT56*'3 Saalis'!CK83</f>
        <v>0</v>
      </c>
      <c r="CQ56" s="531">
        <f>AU56*'3 Saalis'!CL83</f>
        <v>0</v>
      </c>
      <c r="CR56" s="531">
        <f>AV56*'3 Saalis'!CM83</f>
        <v>0</v>
      </c>
      <c r="CS56" s="531">
        <f>AW56*'3 Saalis'!CN83</f>
        <v>0</v>
      </c>
      <c r="CT56" s="531">
        <f>AX56*'3 Saalis'!CO83</f>
        <v>0</v>
      </c>
      <c r="CU56" s="531">
        <f>AY56*'3 Saalis'!CP83</f>
        <v>0</v>
      </c>
      <c r="CV56" s="531">
        <f>AZ56*'3 Saalis'!CQ83</f>
        <v>0</v>
      </c>
      <c r="CW56" s="531">
        <f>BA56*'3 Saalis'!CR83</f>
        <v>0</v>
      </c>
      <c r="CX56" s="531">
        <f>BB56*'3 Saalis'!CS83</f>
        <v>0</v>
      </c>
      <c r="CY56" s="531">
        <f>BC56*'3 Saalis'!CT83</f>
        <v>0</v>
      </c>
      <c r="CZ56" s="531">
        <f>BD56*'3 Saalis'!CU83</f>
        <v>0</v>
      </c>
      <c r="DA56" s="532">
        <f>BE56*'3 Saalis'!CV83</f>
        <v>0</v>
      </c>
      <c r="DC56" s="40" t="s">
        <v>111</v>
      </c>
      <c r="DD56" s="76"/>
      <c r="DE56" s="512">
        <f>SUM(DF56:DQ56)</f>
        <v>0</v>
      </c>
      <c r="DF56" s="521">
        <f>AT56*'3 Saalis'!CK105</f>
        <v>0</v>
      </c>
      <c r="DG56" s="531">
        <f>AU56*'3 Saalis'!CL105</f>
        <v>0</v>
      </c>
      <c r="DH56" s="531">
        <f>AV56*'3 Saalis'!CM105</f>
        <v>0</v>
      </c>
      <c r="DI56" s="531">
        <f>AW56*'3 Saalis'!CN105</f>
        <v>0</v>
      </c>
      <c r="DJ56" s="531">
        <f>AX56*'3 Saalis'!CO105</f>
        <v>0</v>
      </c>
      <c r="DK56" s="531">
        <f>AY56*'3 Saalis'!CP105</f>
        <v>0</v>
      </c>
      <c r="DL56" s="531">
        <f>AZ56*'3 Saalis'!CQ105</f>
        <v>0</v>
      </c>
      <c r="DM56" s="531">
        <f>BA56*'3 Saalis'!CR105</f>
        <v>0</v>
      </c>
      <c r="DN56" s="531">
        <f>BB56*'3 Saalis'!CS105</f>
        <v>0</v>
      </c>
      <c r="DO56" s="531">
        <f>BC56*'3 Saalis'!CT105</f>
        <v>0</v>
      </c>
      <c r="DP56" s="531">
        <f>BD56*'3 Saalis'!CU105</f>
        <v>0</v>
      </c>
      <c r="DQ56" s="532">
        <f>BE56*'3 Saalis'!CV105</f>
        <v>0</v>
      </c>
      <c r="DS56" s="40" t="s">
        <v>111</v>
      </c>
      <c r="DT56" s="76"/>
      <c r="DU56" s="512">
        <f>SUM(DV56:EG56)</f>
        <v>0</v>
      </c>
      <c r="DV56" s="521">
        <f>AT56*'3 Saalis'!CK127</f>
        <v>0</v>
      </c>
      <c r="DW56" s="531">
        <f>AU56*'3 Saalis'!CL127</f>
        <v>0</v>
      </c>
      <c r="DX56" s="531">
        <f>AV56*'3 Saalis'!CM127</f>
        <v>0</v>
      </c>
      <c r="DY56" s="531">
        <f>AW56*'3 Saalis'!CN127</f>
        <v>0</v>
      </c>
      <c r="DZ56" s="531">
        <f>AX56*'3 Saalis'!CO127</f>
        <v>0</v>
      </c>
      <c r="EA56" s="531">
        <f>AY56*'3 Saalis'!CP127</f>
        <v>0</v>
      </c>
      <c r="EB56" s="531">
        <f>AZ56*'3 Saalis'!CQ127</f>
        <v>0</v>
      </c>
      <c r="EC56" s="531">
        <f>BA56*'3 Saalis'!CR127</f>
        <v>0</v>
      </c>
      <c r="ED56" s="531">
        <f>BB56*'3 Saalis'!CS127</f>
        <v>0</v>
      </c>
      <c r="EE56" s="531">
        <f>BC56*'3 Saalis'!CT127</f>
        <v>0</v>
      </c>
      <c r="EF56" s="531">
        <f>BD56*'3 Saalis'!CU127</f>
        <v>0</v>
      </c>
      <c r="EG56" s="532">
        <f>BE56*'3 Saalis'!CV127</f>
        <v>0</v>
      </c>
      <c r="EI56" s="40" t="s">
        <v>111</v>
      </c>
      <c r="EJ56" s="76"/>
      <c r="EK56" s="512">
        <f>SUM(EL56:EW56)</f>
        <v>0</v>
      </c>
      <c r="EL56" s="521">
        <f>AT56*'3 Saalis'!CK149</f>
        <v>0</v>
      </c>
      <c r="EM56" s="531">
        <f>AU56*'3 Saalis'!CL149</f>
        <v>0</v>
      </c>
      <c r="EN56" s="531">
        <f>AV56*'3 Saalis'!CM149</f>
        <v>0</v>
      </c>
      <c r="EO56" s="531">
        <f>AW56*'3 Saalis'!CN149</f>
        <v>0</v>
      </c>
      <c r="EP56" s="531">
        <f>AX56*'3 Saalis'!CO149</f>
        <v>0</v>
      </c>
      <c r="EQ56" s="531">
        <f>AY56*'3 Saalis'!CP149</f>
        <v>0</v>
      </c>
      <c r="ER56" s="531">
        <f>AZ56*'3 Saalis'!CQ149</f>
        <v>0</v>
      </c>
      <c r="ES56" s="531">
        <f>BA56*'3 Saalis'!CR149</f>
        <v>0</v>
      </c>
      <c r="ET56" s="531">
        <f>BB56*'3 Saalis'!CS149</f>
        <v>0</v>
      </c>
      <c r="EU56" s="531">
        <f>BC56*'3 Saalis'!CT149</f>
        <v>0</v>
      </c>
      <c r="EV56" s="531">
        <f>BD56*'3 Saalis'!CU149</f>
        <v>0</v>
      </c>
      <c r="EW56" s="532">
        <f>BE56*'3 Saalis'!CV149</f>
        <v>0</v>
      </c>
    </row>
    <row r="57" spans="9:153" ht="13.5" thickBot="1" x14ac:dyDescent="0.25">
      <c r="I57" s="15"/>
      <c r="M57" s="106"/>
      <c r="AC57" s="35"/>
      <c r="AS57" s="106"/>
      <c r="BW57"/>
      <c r="BX57"/>
      <c r="CM57"/>
      <c r="CN57"/>
      <c r="DE57" s="106"/>
      <c r="DF57" s="106"/>
      <c r="DG57" s="106"/>
      <c r="DH57" s="106"/>
      <c r="DI57" s="106"/>
      <c r="DJ57" s="106"/>
      <c r="DK57" s="106"/>
      <c r="DL57" s="106"/>
      <c r="DM57" s="106"/>
      <c r="DN57" s="106"/>
      <c r="DO57" s="106"/>
      <c r="DP57" s="106"/>
      <c r="DQ57" s="106"/>
      <c r="DU57" s="106"/>
      <c r="DV57" s="106"/>
      <c r="DW57" s="106"/>
      <c r="DX57" s="106"/>
      <c r="DY57" s="106"/>
      <c r="DZ57" s="106"/>
      <c r="EA57" s="106"/>
      <c r="EB57" s="106"/>
      <c r="EC57" s="106"/>
      <c r="ED57" s="106"/>
      <c r="EE57" s="106"/>
      <c r="EF57" s="106"/>
      <c r="EG57" s="106"/>
      <c r="EK57" s="106"/>
      <c r="EL57" s="106"/>
      <c r="EM57" s="106"/>
      <c r="EN57" s="106"/>
      <c r="EO57" s="106"/>
      <c r="EP57" s="106"/>
      <c r="EQ57" s="106"/>
      <c r="ER57" s="106"/>
      <c r="ES57" s="106"/>
      <c r="ET57" s="106"/>
      <c r="EU57" s="106"/>
      <c r="EV57" s="106"/>
      <c r="EW57" s="106"/>
    </row>
    <row r="58" spans="9:153" ht="13.5" thickBot="1" x14ac:dyDescent="0.25">
      <c r="I58" s="15"/>
      <c r="K58" s="5" t="s">
        <v>524</v>
      </c>
      <c r="L58" s="36"/>
      <c r="M58" s="136" t="str">
        <f>'4 Myynti'!D159</f>
        <v>Koko</v>
      </c>
      <c r="N58" s="47">
        <f>'4 Myynti'!E159</f>
        <v>0</v>
      </c>
      <c r="O58" s="48">
        <f>'4 Myynti'!F159</f>
        <v>0</v>
      </c>
      <c r="P58" s="48">
        <f>'4 Myynti'!G159</f>
        <v>0</v>
      </c>
      <c r="Q58" s="48">
        <f>'4 Myynti'!H159</f>
        <v>0</v>
      </c>
      <c r="R58" s="48">
        <f>'4 Myynti'!I159</f>
        <v>0</v>
      </c>
      <c r="S58" s="41" t="str">
        <f>'4 Myynti'!J159</f>
        <v>Kuukausittain</v>
      </c>
      <c r="T58" s="48"/>
      <c r="U58" s="48">
        <f>'4 Myynti'!L159</f>
        <v>0</v>
      </c>
      <c r="V58" s="48">
        <f>'4 Myynti'!M159</f>
        <v>0</v>
      </c>
      <c r="W58" s="48">
        <f>'4 Myynti'!N159</f>
        <v>0</v>
      </c>
      <c r="X58" s="48">
        <f>'4 Myynti'!O159</f>
        <v>0</v>
      </c>
      <c r="Y58" s="49">
        <f>'4 Myynti'!P159</f>
        <v>0</v>
      </c>
      <c r="AA58" s="5" t="s">
        <v>524</v>
      </c>
      <c r="AB58" s="36"/>
      <c r="AC58" s="1165" t="s">
        <v>40</v>
      </c>
      <c r="AD58" s="137">
        <v>0</v>
      </c>
      <c r="AE58" s="138">
        <v>0</v>
      </c>
      <c r="AF58" s="138">
        <v>0</v>
      </c>
      <c r="AG58" s="138">
        <v>0</v>
      </c>
      <c r="AH58" s="138">
        <v>0</v>
      </c>
      <c r="AI58" s="139" t="s">
        <v>42</v>
      </c>
      <c r="AJ58" s="138"/>
      <c r="AK58" s="138"/>
      <c r="AL58" s="138">
        <v>0</v>
      </c>
      <c r="AM58" s="138">
        <v>0</v>
      </c>
      <c r="AN58" s="138">
        <v>0</v>
      </c>
      <c r="AO58" s="140">
        <v>0</v>
      </c>
      <c r="AQ58" s="5" t="s">
        <v>524</v>
      </c>
      <c r="AR58" s="36"/>
      <c r="AS58" s="136" t="s">
        <v>40</v>
      </c>
      <c r="AT58" s="137">
        <v>0</v>
      </c>
      <c r="AU58" s="138">
        <v>0</v>
      </c>
      <c r="AV58" s="138">
        <v>0</v>
      </c>
      <c r="AW58" s="138">
        <v>0</v>
      </c>
      <c r="AX58" s="138">
        <v>0</v>
      </c>
      <c r="AY58" s="139" t="s">
        <v>42</v>
      </c>
      <c r="AZ58" s="138"/>
      <c r="BA58" s="138">
        <v>0</v>
      </c>
      <c r="BB58" s="138">
        <v>0</v>
      </c>
      <c r="BC58" s="138">
        <v>0</v>
      </c>
      <c r="BD58" s="138">
        <v>0</v>
      </c>
      <c r="BE58" s="140">
        <v>0</v>
      </c>
      <c r="BG58" s="5" t="s">
        <v>524</v>
      </c>
      <c r="BH58" s="36"/>
      <c r="BI58" s="136" t="s">
        <v>40</v>
      </c>
      <c r="BJ58" s="137">
        <v>0</v>
      </c>
      <c r="BK58" s="138">
        <v>0</v>
      </c>
      <c r="BL58" s="138">
        <v>0</v>
      </c>
      <c r="BM58" s="138">
        <v>0</v>
      </c>
      <c r="BN58" s="138">
        <v>0</v>
      </c>
      <c r="BO58" s="139" t="s">
        <v>42</v>
      </c>
      <c r="BP58" s="138"/>
      <c r="BQ58" s="138">
        <v>0</v>
      </c>
      <c r="BR58" s="138">
        <v>0</v>
      </c>
      <c r="BS58" s="138">
        <v>0</v>
      </c>
      <c r="BT58" s="138">
        <v>0</v>
      </c>
      <c r="BU58" s="140">
        <v>0</v>
      </c>
      <c r="BW58" s="5" t="s">
        <v>524</v>
      </c>
      <c r="BX58" s="36"/>
      <c r="BY58" s="136" t="s">
        <v>40</v>
      </c>
      <c r="BZ58" s="137">
        <v>0</v>
      </c>
      <c r="CA58" s="138">
        <v>0</v>
      </c>
      <c r="CB58" s="138">
        <v>0</v>
      </c>
      <c r="CC58" s="138">
        <v>0</v>
      </c>
      <c r="CD58" s="138">
        <v>0</v>
      </c>
      <c r="CE58" s="139" t="s">
        <v>42</v>
      </c>
      <c r="CF58" s="138"/>
      <c r="CG58" s="138">
        <v>0</v>
      </c>
      <c r="CH58" s="138">
        <v>0</v>
      </c>
      <c r="CI58" s="138">
        <v>0</v>
      </c>
      <c r="CJ58" s="138">
        <v>0</v>
      </c>
      <c r="CK58" s="140">
        <v>0</v>
      </c>
      <c r="CM58" s="5" t="s">
        <v>524</v>
      </c>
      <c r="CN58" s="36"/>
      <c r="CO58" s="136" t="s">
        <v>40</v>
      </c>
      <c r="CP58" s="137">
        <v>0</v>
      </c>
      <c r="CQ58" s="138">
        <v>0</v>
      </c>
      <c r="CR58" s="138">
        <v>0</v>
      </c>
      <c r="CS58" s="138">
        <v>0</v>
      </c>
      <c r="CT58" s="138">
        <v>0</v>
      </c>
      <c r="CU58" s="139" t="s">
        <v>42</v>
      </c>
      <c r="CV58" s="138"/>
      <c r="CW58" s="138">
        <v>0</v>
      </c>
      <c r="CX58" s="138">
        <v>0</v>
      </c>
      <c r="CY58" s="138">
        <v>0</v>
      </c>
      <c r="CZ58" s="138">
        <v>0</v>
      </c>
      <c r="DA58" s="140">
        <v>0</v>
      </c>
      <c r="DC58" s="5" t="s">
        <v>524</v>
      </c>
      <c r="DD58" s="36"/>
      <c r="DE58" s="136" t="s">
        <v>40</v>
      </c>
      <c r="DF58" s="137">
        <v>0</v>
      </c>
      <c r="DG58" s="138">
        <v>0</v>
      </c>
      <c r="DH58" s="138">
        <v>0</v>
      </c>
      <c r="DI58" s="138">
        <v>0</v>
      </c>
      <c r="DJ58" s="138">
        <v>0</v>
      </c>
      <c r="DK58" s="139" t="s">
        <v>42</v>
      </c>
      <c r="DL58" s="138"/>
      <c r="DM58" s="138">
        <v>0</v>
      </c>
      <c r="DN58" s="138">
        <v>0</v>
      </c>
      <c r="DO58" s="138">
        <v>0</v>
      </c>
      <c r="DP58" s="138">
        <v>0</v>
      </c>
      <c r="DQ58" s="140">
        <v>0</v>
      </c>
      <c r="DS58" s="5" t="s">
        <v>524</v>
      </c>
      <c r="DT58" s="36"/>
      <c r="DU58" s="136" t="s">
        <v>40</v>
      </c>
      <c r="DV58" s="137">
        <v>0</v>
      </c>
      <c r="DW58" s="138">
        <v>0</v>
      </c>
      <c r="DX58" s="138">
        <v>0</v>
      </c>
      <c r="DY58" s="138">
        <v>0</v>
      </c>
      <c r="DZ58" s="138">
        <v>0</v>
      </c>
      <c r="EA58" s="139" t="s">
        <v>42</v>
      </c>
      <c r="EB58" s="138"/>
      <c r="EC58" s="138">
        <v>0</v>
      </c>
      <c r="ED58" s="138">
        <v>0</v>
      </c>
      <c r="EE58" s="138">
        <v>0</v>
      </c>
      <c r="EF58" s="138">
        <v>0</v>
      </c>
      <c r="EG58" s="140">
        <v>0</v>
      </c>
      <c r="EI58" s="5" t="s">
        <v>524</v>
      </c>
      <c r="EJ58" s="36"/>
      <c r="EK58" s="136" t="s">
        <v>40</v>
      </c>
      <c r="EL58" s="137">
        <v>0</v>
      </c>
      <c r="EM58" s="138">
        <v>0</v>
      </c>
      <c r="EN58" s="138">
        <v>0</v>
      </c>
      <c r="EO58" s="138">
        <v>0</v>
      </c>
      <c r="EP58" s="138">
        <v>0</v>
      </c>
      <c r="EQ58" s="139" t="s">
        <v>42</v>
      </c>
      <c r="ER58" s="138"/>
      <c r="ES58" s="138">
        <v>0</v>
      </c>
      <c r="ET58" s="138">
        <v>0</v>
      </c>
      <c r="EU58" s="138">
        <v>0</v>
      </c>
      <c r="EV58" s="138">
        <v>0</v>
      </c>
      <c r="EW58" s="140">
        <v>0</v>
      </c>
    </row>
    <row r="59" spans="9:153" ht="13.5" thickBot="1" x14ac:dyDescent="0.25">
      <c r="I59" s="15"/>
      <c r="K59" s="57"/>
      <c r="L59" s="59"/>
      <c r="M59" s="141" t="str">
        <f>'4 Myynti'!D160</f>
        <v>kausi</v>
      </c>
      <c r="N59" s="72">
        <f>'4 Myynti'!E160</f>
        <v>1</v>
      </c>
      <c r="O59" s="70">
        <f>'4 Myynti'!F160</f>
        <v>2</v>
      </c>
      <c r="P59" s="70">
        <f>'4 Myynti'!G160</f>
        <v>3</v>
      </c>
      <c r="Q59" s="70">
        <f>'4 Myynti'!H160</f>
        <v>4</v>
      </c>
      <c r="R59" s="70">
        <f>'4 Myynti'!I160</f>
        <v>5</v>
      </c>
      <c r="S59" s="70">
        <f>'4 Myynti'!J160</f>
        <v>6</v>
      </c>
      <c r="T59" s="70">
        <f>'4 Myynti'!K160</f>
        <v>7</v>
      </c>
      <c r="U59" s="70">
        <f>'4 Myynti'!L160</f>
        <v>8</v>
      </c>
      <c r="V59" s="70">
        <f>'4 Myynti'!M160</f>
        <v>9</v>
      </c>
      <c r="W59" s="70">
        <f>'4 Myynti'!N160</f>
        <v>10</v>
      </c>
      <c r="X59" s="70">
        <f>'4 Myynti'!O160</f>
        <v>11</v>
      </c>
      <c r="Y59" s="71">
        <f>'4 Myynti'!P160</f>
        <v>12</v>
      </c>
      <c r="AA59" s="57"/>
      <c r="AB59" s="59"/>
      <c r="AC59" s="1166" t="s">
        <v>41</v>
      </c>
      <c r="AD59" s="142">
        <v>1</v>
      </c>
      <c r="AE59" s="143">
        <v>2</v>
      </c>
      <c r="AF59" s="143">
        <v>3</v>
      </c>
      <c r="AG59" s="143">
        <v>4</v>
      </c>
      <c r="AH59" s="143">
        <v>5</v>
      </c>
      <c r="AI59" s="143">
        <v>6</v>
      </c>
      <c r="AJ59" s="143">
        <v>7</v>
      </c>
      <c r="AK59" s="143">
        <v>8</v>
      </c>
      <c r="AL59" s="143">
        <v>9</v>
      </c>
      <c r="AM59" s="143">
        <v>10</v>
      </c>
      <c r="AN59" s="143">
        <v>11</v>
      </c>
      <c r="AO59" s="144">
        <v>12</v>
      </c>
      <c r="AQ59" s="57"/>
      <c r="AR59" s="59"/>
      <c r="AS59" s="141" t="s">
        <v>41</v>
      </c>
      <c r="AT59" s="142">
        <v>1</v>
      </c>
      <c r="AU59" s="143">
        <v>2</v>
      </c>
      <c r="AV59" s="143">
        <v>3</v>
      </c>
      <c r="AW59" s="143">
        <v>4</v>
      </c>
      <c r="AX59" s="143">
        <v>5</v>
      </c>
      <c r="AY59" s="143">
        <v>6</v>
      </c>
      <c r="AZ59" s="143">
        <v>7</v>
      </c>
      <c r="BA59" s="143">
        <v>8</v>
      </c>
      <c r="BB59" s="143">
        <v>9</v>
      </c>
      <c r="BC59" s="143">
        <v>10</v>
      </c>
      <c r="BD59" s="143">
        <v>11</v>
      </c>
      <c r="BE59" s="144">
        <v>12</v>
      </c>
      <c r="BG59" s="57"/>
      <c r="BH59" s="59"/>
      <c r="BI59" s="141" t="s">
        <v>41</v>
      </c>
      <c r="BJ59" s="142">
        <v>1</v>
      </c>
      <c r="BK59" s="143">
        <v>2</v>
      </c>
      <c r="BL59" s="143">
        <v>3</v>
      </c>
      <c r="BM59" s="143">
        <v>4</v>
      </c>
      <c r="BN59" s="143">
        <v>5</v>
      </c>
      <c r="BO59" s="143">
        <v>6</v>
      </c>
      <c r="BP59" s="143">
        <v>7</v>
      </c>
      <c r="BQ59" s="143">
        <v>8</v>
      </c>
      <c r="BR59" s="143">
        <v>9</v>
      </c>
      <c r="BS59" s="143">
        <v>10</v>
      </c>
      <c r="BT59" s="143">
        <v>11</v>
      </c>
      <c r="BU59" s="144">
        <v>12</v>
      </c>
      <c r="BW59" s="57"/>
      <c r="BX59" s="59"/>
      <c r="BY59" s="141" t="s">
        <v>41</v>
      </c>
      <c r="BZ59" s="142">
        <v>1</v>
      </c>
      <c r="CA59" s="143">
        <v>2</v>
      </c>
      <c r="CB59" s="143">
        <v>3</v>
      </c>
      <c r="CC59" s="143">
        <v>4</v>
      </c>
      <c r="CD59" s="143">
        <v>5</v>
      </c>
      <c r="CE59" s="143">
        <v>6</v>
      </c>
      <c r="CF59" s="143">
        <v>7</v>
      </c>
      <c r="CG59" s="143">
        <v>8</v>
      </c>
      <c r="CH59" s="143">
        <v>9</v>
      </c>
      <c r="CI59" s="143">
        <v>10</v>
      </c>
      <c r="CJ59" s="143">
        <v>11</v>
      </c>
      <c r="CK59" s="144">
        <v>12</v>
      </c>
      <c r="CM59" s="57"/>
      <c r="CN59" s="59"/>
      <c r="CO59" s="141" t="s">
        <v>41</v>
      </c>
      <c r="CP59" s="142">
        <v>1</v>
      </c>
      <c r="CQ59" s="143">
        <v>2</v>
      </c>
      <c r="CR59" s="143">
        <v>3</v>
      </c>
      <c r="CS59" s="143">
        <v>4</v>
      </c>
      <c r="CT59" s="143">
        <v>5</v>
      </c>
      <c r="CU59" s="143">
        <v>6</v>
      </c>
      <c r="CV59" s="143">
        <v>7</v>
      </c>
      <c r="CW59" s="143">
        <v>8</v>
      </c>
      <c r="CX59" s="143">
        <v>9</v>
      </c>
      <c r="CY59" s="143">
        <v>10</v>
      </c>
      <c r="CZ59" s="143">
        <v>11</v>
      </c>
      <c r="DA59" s="144">
        <v>12</v>
      </c>
      <c r="DC59" s="57"/>
      <c r="DD59" s="59"/>
      <c r="DE59" s="141" t="s">
        <v>41</v>
      </c>
      <c r="DF59" s="142">
        <v>1</v>
      </c>
      <c r="DG59" s="143">
        <v>2</v>
      </c>
      <c r="DH59" s="143">
        <v>3</v>
      </c>
      <c r="DI59" s="143">
        <v>4</v>
      </c>
      <c r="DJ59" s="143">
        <v>5</v>
      </c>
      <c r="DK59" s="143">
        <v>6</v>
      </c>
      <c r="DL59" s="143">
        <v>7</v>
      </c>
      <c r="DM59" s="143">
        <v>8</v>
      </c>
      <c r="DN59" s="143">
        <v>9</v>
      </c>
      <c r="DO59" s="143">
        <v>10</v>
      </c>
      <c r="DP59" s="143">
        <v>11</v>
      </c>
      <c r="DQ59" s="144">
        <v>12</v>
      </c>
      <c r="DS59" s="57"/>
      <c r="DT59" s="59"/>
      <c r="DU59" s="141" t="s">
        <v>41</v>
      </c>
      <c r="DV59" s="142">
        <v>1</v>
      </c>
      <c r="DW59" s="143">
        <v>2</v>
      </c>
      <c r="DX59" s="143">
        <v>3</v>
      </c>
      <c r="DY59" s="143">
        <v>4</v>
      </c>
      <c r="DZ59" s="143">
        <v>5</v>
      </c>
      <c r="EA59" s="143">
        <v>6</v>
      </c>
      <c r="EB59" s="143">
        <v>7</v>
      </c>
      <c r="EC59" s="143">
        <v>8</v>
      </c>
      <c r="ED59" s="143">
        <v>9</v>
      </c>
      <c r="EE59" s="143">
        <v>10</v>
      </c>
      <c r="EF59" s="143">
        <v>11</v>
      </c>
      <c r="EG59" s="144">
        <v>12</v>
      </c>
      <c r="EI59" s="57"/>
      <c r="EJ59" s="59"/>
      <c r="EK59" s="141" t="s">
        <v>41</v>
      </c>
      <c r="EL59" s="142">
        <v>1</v>
      </c>
      <c r="EM59" s="143">
        <v>2</v>
      </c>
      <c r="EN59" s="143">
        <v>3</v>
      </c>
      <c r="EO59" s="143">
        <v>4</v>
      </c>
      <c r="EP59" s="143">
        <v>5</v>
      </c>
      <c r="EQ59" s="143">
        <v>6</v>
      </c>
      <c r="ER59" s="143">
        <v>7</v>
      </c>
      <c r="ES59" s="143">
        <v>8</v>
      </c>
      <c r="ET59" s="143">
        <v>9</v>
      </c>
      <c r="EU59" s="143">
        <v>10</v>
      </c>
      <c r="EV59" s="143">
        <v>11</v>
      </c>
      <c r="EW59" s="144">
        <v>12</v>
      </c>
    </row>
    <row r="60" spans="9:153" x14ac:dyDescent="0.2">
      <c r="I60" s="15"/>
      <c r="K60" s="5" t="s">
        <v>110</v>
      </c>
      <c r="L60" s="13"/>
      <c r="M60" s="425">
        <f>SUM(N60:Y60)</f>
        <v>0</v>
      </c>
      <c r="N60" s="499">
        <f>'4 Myynti'!E163+'4 Myynti'!E167</f>
        <v>0</v>
      </c>
      <c r="O60" s="499">
        <f>'4 Myynti'!F163+'4 Myynti'!F167</f>
        <v>0</v>
      </c>
      <c r="P60" s="499">
        <f>'4 Myynti'!G163+'4 Myynti'!G167</f>
        <v>0</v>
      </c>
      <c r="Q60" s="499">
        <f>'4 Myynti'!H163+'4 Myynti'!H167</f>
        <v>0</v>
      </c>
      <c r="R60" s="499">
        <f>'4 Myynti'!I163+'4 Myynti'!I167</f>
        <v>0</v>
      </c>
      <c r="S60" s="499">
        <f>'4 Myynti'!J163+'4 Myynti'!J167</f>
        <v>0</v>
      </c>
      <c r="T60" s="499">
        <f>'4 Myynti'!K163+'4 Myynti'!K167</f>
        <v>0</v>
      </c>
      <c r="U60" s="499">
        <f>'4 Myynti'!L163+'4 Myynti'!L167</f>
        <v>0</v>
      </c>
      <c r="V60" s="499">
        <f>'4 Myynti'!M163+'4 Myynti'!M167</f>
        <v>0</v>
      </c>
      <c r="W60" s="499">
        <f>'4 Myynti'!N163+'4 Myynti'!N167</f>
        <v>0</v>
      </c>
      <c r="X60" s="499">
        <f>'4 Myynti'!O163+'4 Myynti'!O167</f>
        <v>0</v>
      </c>
      <c r="Y60" s="499">
        <f>'4 Myynti'!P163+'4 Myynti'!P167</f>
        <v>0</v>
      </c>
      <c r="AA60" s="5" t="s">
        <v>110</v>
      </c>
      <c r="AB60" s="13"/>
      <c r="AC60" s="1390">
        <f>SUM(AD60:AO60)</f>
        <v>0</v>
      </c>
      <c r="AD60" s="499">
        <f>$C$41*N60/100*$D$41</f>
        <v>0</v>
      </c>
      <c r="AE60" s="499">
        <f t="shared" ref="AE60:AO60" si="34">$C$41*O60/100*$D$41</f>
        <v>0</v>
      </c>
      <c r="AF60" s="499">
        <f t="shared" si="34"/>
        <v>0</v>
      </c>
      <c r="AG60" s="499">
        <f t="shared" si="34"/>
        <v>0</v>
      </c>
      <c r="AH60" s="499">
        <f t="shared" si="34"/>
        <v>0</v>
      </c>
      <c r="AI60" s="499">
        <f t="shared" si="34"/>
        <v>0</v>
      </c>
      <c r="AJ60" s="499">
        <f t="shared" si="34"/>
        <v>0</v>
      </c>
      <c r="AK60" s="499">
        <f t="shared" si="34"/>
        <v>0</v>
      </c>
      <c r="AL60" s="499">
        <f t="shared" si="34"/>
        <v>0</v>
      </c>
      <c r="AM60" s="499">
        <f t="shared" si="34"/>
        <v>0</v>
      </c>
      <c r="AN60" s="499">
        <f t="shared" si="34"/>
        <v>0</v>
      </c>
      <c r="AO60" s="499">
        <f t="shared" si="34"/>
        <v>0</v>
      </c>
      <c r="AQ60" s="5" t="s">
        <v>110</v>
      </c>
      <c r="AR60" s="13"/>
      <c r="AS60" s="425">
        <f>SUM(AT60:BE60)</f>
        <v>0</v>
      </c>
      <c r="AT60" s="499">
        <f>AD60*'11. Työtunnit'!$C$7</f>
        <v>0</v>
      </c>
      <c r="AU60" s="499">
        <f>AE60*'11. Työtunnit'!$C$7</f>
        <v>0</v>
      </c>
      <c r="AV60" s="499">
        <f>AF60*'11. Työtunnit'!$C$7</f>
        <v>0</v>
      </c>
      <c r="AW60" s="499">
        <f>AG60*'11. Työtunnit'!$C$7</f>
        <v>0</v>
      </c>
      <c r="AX60" s="499">
        <f>AH60*'11. Työtunnit'!$C$7</f>
        <v>0</v>
      </c>
      <c r="AY60" s="499">
        <f>AI60*'11. Työtunnit'!$C$7</f>
        <v>0</v>
      </c>
      <c r="AZ60" s="499">
        <f>AJ60*'11. Työtunnit'!$C$7</f>
        <v>0</v>
      </c>
      <c r="BA60" s="499">
        <f>AK60*'11. Työtunnit'!$C$7</f>
        <v>0</v>
      </c>
      <c r="BB60" s="499">
        <f>AL60*'11. Työtunnit'!$C$7</f>
        <v>0</v>
      </c>
      <c r="BC60" s="499">
        <f>AM60*'11. Työtunnit'!$C$7</f>
        <v>0</v>
      </c>
      <c r="BD60" s="499">
        <f>AN60*'11. Työtunnit'!$C$7</f>
        <v>0</v>
      </c>
      <c r="BE60" s="499">
        <f>AO60*'11. Työtunnit'!$C$7</f>
        <v>0</v>
      </c>
      <c r="BG60" s="5" t="s">
        <v>110</v>
      </c>
      <c r="BH60" s="13"/>
      <c r="BI60" s="425">
        <f>SUM(BJ60:BU60)</f>
        <v>0</v>
      </c>
      <c r="BJ60" s="499">
        <f>AT60*'3 Saalis'!CK40</f>
        <v>0</v>
      </c>
      <c r="BK60" s="499">
        <f>AU60*'3 Saalis'!CL40</f>
        <v>0</v>
      </c>
      <c r="BL60" s="499">
        <f>AV60*'3 Saalis'!CM40</f>
        <v>0</v>
      </c>
      <c r="BM60" s="499">
        <f>AW60*'3 Saalis'!CN40</f>
        <v>0</v>
      </c>
      <c r="BN60" s="499">
        <f>AX60*'3 Saalis'!CO40</f>
        <v>0</v>
      </c>
      <c r="BO60" s="499">
        <f>AY60*'3 Saalis'!CP40</f>
        <v>0</v>
      </c>
      <c r="BP60" s="499">
        <f>AZ60*'3 Saalis'!CQ40</f>
        <v>0</v>
      </c>
      <c r="BQ60" s="499">
        <f>BA60*'3 Saalis'!CR40</f>
        <v>0</v>
      </c>
      <c r="BR60" s="499">
        <f>BB60*'3 Saalis'!CS40</f>
        <v>0</v>
      </c>
      <c r="BS60" s="499">
        <f>BC60*'3 Saalis'!CT40</f>
        <v>0</v>
      </c>
      <c r="BT60" s="499">
        <f>BD60*'3 Saalis'!CU40</f>
        <v>0</v>
      </c>
      <c r="BU60" s="499">
        <f>BE60*'3 Saalis'!CV40</f>
        <v>0</v>
      </c>
      <c r="BW60" s="5" t="s">
        <v>110</v>
      </c>
      <c r="BX60" s="13"/>
      <c r="BY60" s="425">
        <f>SUM(BZ60:CK60)</f>
        <v>0</v>
      </c>
      <c r="BZ60" s="499">
        <f>AT60*'3 Saalis'!CK62</f>
        <v>0</v>
      </c>
      <c r="CA60" s="499">
        <f>AU60*'3 Saalis'!CL62</f>
        <v>0</v>
      </c>
      <c r="CB60" s="499">
        <f>AV60*'3 Saalis'!CM62</f>
        <v>0</v>
      </c>
      <c r="CC60" s="499">
        <f>AW60*'3 Saalis'!CN62</f>
        <v>0</v>
      </c>
      <c r="CD60" s="499">
        <f>AX60*'3 Saalis'!CO62</f>
        <v>0</v>
      </c>
      <c r="CE60" s="499">
        <f>AY60*'3 Saalis'!CP62</f>
        <v>0</v>
      </c>
      <c r="CF60" s="499">
        <f>AZ60*'3 Saalis'!CQ62</f>
        <v>0</v>
      </c>
      <c r="CG60" s="499">
        <f>BA60*'3 Saalis'!CR62</f>
        <v>0</v>
      </c>
      <c r="CH60" s="499">
        <f>BB60*'3 Saalis'!CS62</f>
        <v>0</v>
      </c>
      <c r="CI60" s="499">
        <f>BC60*'3 Saalis'!CT62</f>
        <v>0</v>
      </c>
      <c r="CJ60" s="499">
        <f>BD60*'3 Saalis'!CU62</f>
        <v>0</v>
      </c>
      <c r="CK60" s="499">
        <f>BE60*'3 Saalis'!CV62</f>
        <v>0</v>
      </c>
      <c r="CM60" s="5" t="s">
        <v>110</v>
      </c>
      <c r="CN60" s="13"/>
      <c r="CO60" s="425">
        <f>SUM(CP60:DA60)</f>
        <v>0</v>
      </c>
      <c r="CP60" s="499">
        <f>AT60*'3 Saalis'!CK84</f>
        <v>0</v>
      </c>
      <c r="CQ60" s="499">
        <f>AU60*'3 Saalis'!CL84</f>
        <v>0</v>
      </c>
      <c r="CR60" s="499">
        <f>AV60*'3 Saalis'!CM84</f>
        <v>0</v>
      </c>
      <c r="CS60" s="499">
        <f>AW60*'3 Saalis'!CN84</f>
        <v>0</v>
      </c>
      <c r="CT60" s="499">
        <f>AX60*'3 Saalis'!CO84</f>
        <v>0</v>
      </c>
      <c r="CU60" s="499">
        <f>AY60*'3 Saalis'!CP84</f>
        <v>0</v>
      </c>
      <c r="CV60" s="499">
        <f>AZ60*'3 Saalis'!CQ84</f>
        <v>0</v>
      </c>
      <c r="CW60" s="499">
        <f>BA60*'3 Saalis'!CR84</f>
        <v>0</v>
      </c>
      <c r="CX60" s="499">
        <f>BB60*'3 Saalis'!CS84</f>
        <v>0</v>
      </c>
      <c r="CY60" s="499">
        <f>BC60*'3 Saalis'!CT84</f>
        <v>0</v>
      </c>
      <c r="CZ60" s="499">
        <f>BD60*'3 Saalis'!CU84</f>
        <v>0</v>
      </c>
      <c r="DA60" s="499">
        <f>BE60*'3 Saalis'!CV84</f>
        <v>0</v>
      </c>
      <c r="DC60" s="5" t="s">
        <v>110</v>
      </c>
      <c r="DD60" s="13"/>
      <c r="DE60" s="425">
        <f>SUM(DF60:DQ60)</f>
        <v>0</v>
      </c>
      <c r="DF60" s="499">
        <f>AT60*'3 Saalis'!CK106</f>
        <v>0</v>
      </c>
      <c r="DG60" s="499">
        <f>AU60*'3 Saalis'!CL106</f>
        <v>0</v>
      </c>
      <c r="DH60" s="499">
        <f>AV60*'3 Saalis'!CM106</f>
        <v>0</v>
      </c>
      <c r="DI60" s="499">
        <f>AW60*'3 Saalis'!CN106</f>
        <v>0</v>
      </c>
      <c r="DJ60" s="499">
        <f>AX60*'3 Saalis'!CO106</f>
        <v>0</v>
      </c>
      <c r="DK60" s="499">
        <f>AY60*'3 Saalis'!CP106</f>
        <v>0</v>
      </c>
      <c r="DL60" s="499">
        <f>AZ60*'3 Saalis'!CQ106</f>
        <v>0</v>
      </c>
      <c r="DM60" s="499">
        <f>BA60*'3 Saalis'!CR106</f>
        <v>0</v>
      </c>
      <c r="DN60" s="499">
        <f>BB60*'3 Saalis'!CS106</f>
        <v>0</v>
      </c>
      <c r="DO60" s="499">
        <f>BC60*'3 Saalis'!CT106</f>
        <v>0</v>
      </c>
      <c r="DP60" s="499">
        <f>BD60*'3 Saalis'!CU106</f>
        <v>0</v>
      </c>
      <c r="DQ60" s="499">
        <f>BE60*'3 Saalis'!CV106</f>
        <v>0</v>
      </c>
      <c r="DS60" s="5" t="s">
        <v>110</v>
      </c>
      <c r="DT60" s="13"/>
      <c r="DU60" s="425">
        <f>SUM(DV60:EG60)</f>
        <v>0</v>
      </c>
      <c r="DV60" s="499">
        <f>AT60*'3 Saalis'!CK128</f>
        <v>0</v>
      </c>
      <c r="DW60" s="499">
        <f>AU60*'3 Saalis'!CL128</f>
        <v>0</v>
      </c>
      <c r="DX60" s="499">
        <f>AV60*'3 Saalis'!CM128</f>
        <v>0</v>
      </c>
      <c r="DY60" s="499">
        <f>AW60*'3 Saalis'!CN128</f>
        <v>0</v>
      </c>
      <c r="DZ60" s="499">
        <f>AX60*'3 Saalis'!CO128</f>
        <v>0</v>
      </c>
      <c r="EA60" s="499">
        <f>AY60*'3 Saalis'!CP128</f>
        <v>0</v>
      </c>
      <c r="EB60" s="499">
        <f>AZ60*'3 Saalis'!CQ128</f>
        <v>0</v>
      </c>
      <c r="EC60" s="499">
        <f>BA60*'3 Saalis'!CR128</f>
        <v>0</v>
      </c>
      <c r="ED60" s="499">
        <f>BB60*'3 Saalis'!CS128</f>
        <v>0</v>
      </c>
      <c r="EE60" s="499">
        <f>BC60*'3 Saalis'!CT128</f>
        <v>0</v>
      </c>
      <c r="EF60" s="499">
        <f>BD60*'3 Saalis'!CU128</f>
        <v>0</v>
      </c>
      <c r="EG60" s="499">
        <f>BE60*'3 Saalis'!CV128</f>
        <v>0</v>
      </c>
      <c r="EI60" s="5" t="s">
        <v>110</v>
      </c>
      <c r="EJ60" s="13"/>
      <c r="EK60" s="425">
        <f>SUM(EL60:EW60)</f>
        <v>0</v>
      </c>
      <c r="EL60" s="499">
        <f>AT60*'3 Saalis'!CK150</f>
        <v>0</v>
      </c>
      <c r="EM60" s="499">
        <f>AU60*'3 Saalis'!CL150</f>
        <v>0</v>
      </c>
      <c r="EN60" s="499">
        <f>AV60*'3 Saalis'!CM150</f>
        <v>0</v>
      </c>
      <c r="EO60" s="499">
        <f>AW60*'3 Saalis'!CN150</f>
        <v>0</v>
      </c>
      <c r="EP60" s="499">
        <f>AX60*'3 Saalis'!CO150</f>
        <v>0</v>
      </c>
      <c r="EQ60" s="499">
        <f>AY60*'3 Saalis'!CP150</f>
        <v>0</v>
      </c>
      <c r="ER60" s="499">
        <f>AZ60*'3 Saalis'!CQ150</f>
        <v>0</v>
      </c>
      <c r="ES60" s="499">
        <f>BA60*'3 Saalis'!CR150</f>
        <v>0</v>
      </c>
      <c r="ET60" s="499">
        <f>BB60*'3 Saalis'!CS150</f>
        <v>0</v>
      </c>
      <c r="EU60" s="499">
        <f>BC60*'3 Saalis'!CT150</f>
        <v>0</v>
      </c>
      <c r="EV60" s="499">
        <f>BD60*'3 Saalis'!CU150</f>
        <v>0</v>
      </c>
      <c r="EW60" s="499">
        <f>BE60*'3 Saalis'!CV150</f>
        <v>0</v>
      </c>
    </row>
    <row r="61" spans="9:153" ht="13.5" thickBot="1" x14ac:dyDescent="0.25">
      <c r="I61" s="15"/>
      <c r="K61" s="40" t="s">
        <v>111</v>
      </c>
      <c r="L61" s="76"/>
      <c r="M61" s="512">
        <f>SUM(N61:Y61)</f>
        <v>0</v>
      </c>
      <c r="N61" s="521">
        <f>'4 Myynti'!E164+'4 Myynti'!E168</f>
        <v>0</v>
      </c>
      <c r="O61" s="531">
        <f>'4 Myynti'!F164+'4 Myynti'!F168</f>
        <v>0</v>
      </c>
      <c r="P61" s="531">
        <f>'4 Myynti'!G164+'4 Myynti'!G168</f>
        <v>0</v>
      </c>
      <c r="Q61" s="531">
        <f>'4 Myynti'!H164+'4 Myynti'!H168</f>
        <v>0</v>
      </c>
      <c r="R61" s="531">
        <f>'4 Myynti'!I164+'4 Myynti'!I168</f>
        <v>0</v>
      </c>
      <c r="S61" s="531">
        <f>'4 Myynti'!J164+'4 Myynti'!J168</f>
        <v>0</v>
      </c>
      <c r="T61" s="531">
        <f>'4 Myynti'!K164+'4 Myynti'!K168</f>
        <v>0</v>
      </c>
      <c r="U61" s="531">
        <f>'4 Myynti'!L164+'4 Myynti'!L168</f>
        <v>0</v>
      </c>
      <c r="V61" s="531">
        <f>'4 Myynti'!M164+'4 Myynti'!M168</f>
        <v>0</v>
      </c>
      <c r="W61" s="531">
        <f>'4 Myynti'!N164+'4 Myynti'!N168</f>
        <v>0</v>
      </c>
      <c r="X61" s="531">
        <f>'4 Myynti'!O164+'4 Myynti'!O168</f>
        <v>0</v>
      </c>
      <c r="Y61" s="532">
        <f>'4 Myynti'!P164+'4 Myynti'!P168</f>
        <v>0</v>
      </c>
      <c r="AA61" s="40" t="s">
        <v>111</v>
      </c>
      <c r="AB61" s="76"/>
      <c r="AC61" s="1391">
        <f>SUM(AD61:AO61)</f>
        <v>0</v>
      </c>
      <c r="AD61" s="521">
        <f t="shared" ref="AD61:AO61" si="35">N61/100*$F$41</f>
        <v>0</v>
      </c>
      <c r="AE61" s="531">
        <f t="shared" si="35"/>
        <v>0</v>
      </c>
      <c r="AF61" s="531">
        <f t="shared" si="35"/>
        <v>0</v>
      </c>
      <c r="AG61" s="531">
        <f t="shared" si="35"/>
        <v>0</v>
      </c>
      <c r="AH61" s="531">
        <f t="shared" si="35"/>
        <v>0</v>
      </c>
      <c r="AI61" s="531">
        <f t="shared" si="35"/>
        <v>0</v>
      </c>
      <c r="AJ61" s="531">
        <f t="shared" si="35"/>
        <v>0</v>
      </c>
      <c r="AK61" s="531">
        <f t="shared" si="35"/>
        <v>0</v>
      </c>
      <c r="AL61" s="531">
        <f t="shared" si="35"/>
        <v>0</v>
      </c>
      <c r="AM61" s="531">
        <f t="shared" si="35"/>
        <v>0</v>
      </c>
      <c r="AN61" s="531">
        <f t="shared" si="35"/>
        <v>0</v>
      </c>
      <c r="AO61" s="532">
        <f t="shared" si="35"/>
        <v>0</v>
      </c>
      <c r="AQ61" s="40" t="s">
        <v>111</v>
      </c>
      <c r="AR61" s="76"/>
      <c r="AS61" s="512">
        <f>SUM(AT61:BE61)</f>
        <v>0</v>
      </c>
      <c r="AT61" s="521">
        <f>AD61*'11. Työtunnit'!$C$7</f>
        <v>0</v>
      </c>
      <c r="AU61" s="531">
        <f>AE61*'11. Työtunnit'!$C$7</f>
        <v>0</v>
      </c>
      <c r="AV61" s="531">
        <f>AF61*'11. Työtunnit'!$C$7</f>
        <v>0</v>
      </c>
      <c r="AW61" s="531">
        <f>AG61*'11. Työtunnit'!$C$7</f>
        <v>0</v>
      </c>
      <c r="AX61" s="531">
        <f>AH61*'11. Työtunnit'!$C$7</f>
        <v>0</v>
      </c>
      <c r="AY61" s="531">
        <f>AI61*'11. Työtunnit'!$C$7</f>
        <v>0</v>
      </c>
      <c r="AZ61" s="531">
        <f>AJ61*'11. Työtunnit'!$C$7</f>
        <v>0</v>
      </c>
      <c r="BA61" s="531">
        <f>AK61*'11. Työtunnit'!$C$7</f>
        <v>0</v>
      </c>
      <c r="BB61" s="531">
        <f>AL61*'11. Työtunnit'!$C$7</f>
        <v>0</v>
      </c>
      <c r="BC61" s="531">
        <f>AM61*'11. Työtunnit'!$C$7</f>
        <v>0</v>
      </c>
      <c r="BD61" s="531">
        <f>AN61*'11. Työtunnit'!$C$7</f>
        <v>0</v>
      </c>
      <c r="BE61" s="532">
        <f>AO61*'11. Työtunnit'!$C$7</f>
        <v>0</v>
      </c>
      <c r="BG61" s="40" t="s">
        <v>111</v>
      </c>
      <c r="BH61" s="76"/>
      <c r="BI61" s="512">
        <f>SUM(BJ61:BU61)</f>
        <v>0</v>
      </c>
      <c r="BJ61" s="521">
        <f>AT61*'3 Saalis'!CK40</f>
        <v>0</v>
      </c>
      <c r="BK61" s="531">
        <f>AU61*'3 Saalis'!CL40</f>
        <v>0</v>
      </c>
      <c r="BL61" s="531">
        <f>AV61*'3 Saalis'!CM40</f>
        <v>0</v>
      </c>
      <c r="BM61" s="531">
        <f>AW61*'3 Saalis'!CN40</f>
        <v>0</v>
      </c>
      <c r="BN61" s="531">
        <f>AX61*'3 Saalis'!CO40</f>
        <v>0</v>
      </c>
      <c r="BO61" s="531">
        <f>AY61*'3 Saalis'!CP40</f>
        <v>0</v>
      </c>
      <c r="BP61" s="531">
        <f>AZ61*'3 Saalis'!CQ40</f>
        <v>0</v>
      </c>
      <c r="BQ61" s="531">
        <f>BA61*'3 Saalis'!CR40</f>
        <v>0</v>
      </c>
      <c r="BR61" s="531">
        <f>BB61*'3 Saalis'!CS40</f>
        <v>0</v>
      </c>
      <c r="BS61" s="531">
        <f>BC61*'3 Saalis'!CT40</f>
        <v>0</v>
      </c>
      <c r="BT61" s="531">
        <f>BD61*'3 Saalis'!CU40</f>
        <v>0</v>
      </c>
      <c r="BU61" s="532">
        <f>BE61*'3 Saalis'!CV40</f>
        <v>0</v>
      </c>
      <c r="BW61" s="40" t="s">
        <v>111</v>
      </c>
      <c r="BX61" s="76"/>
      <c r="BY61" s="512">
        <f>SUM(BZ61:CK61)</f>
        <v>0</v>
      </c>
      <c r="BZ61" s="521">
        <f>AT61*'3 Saalis'!CK62</f>
        <v>0</v>
      </c>
      <c r="CA61" s="531">
        <f>AU61*'3 Saalis'!CL62</f>
        <v>0</v>
      </c>
      <c r="CB61" s="531">
        <f>AV61*'3 Saalis'!CM62</f>
        <v>0</v>
      </c>
      <c r="CC61" s="531">
        <f>AW61*'3 Saalis'!CN62</f>
        <v>0</v>
      </c>
      <c r="CD61" s="531">
        <f>AX61*'3 Saalis'!CO62</f>
        <v>0</v>
      </c>
      <c r="CE61" s="531">
        <f>AY61*'3 Saalis'!CP62</f>
        <v>0</v>
      </c>
      <c r="CF61" s="531">
        <f>AZ61*'3 Saalis'!CQ62</f>
        <v>0</v>
      </c>
      <c r="CG61" s="531">
        <f>BA61*'3 Saalis'!CR62</f>
        <v>0</v>
      </c>
      <c r="CH61" s="531">
        <f>BB61*'3 Saalis'!CS62</f>
        <v>0</v>
      </c>
      <c r="CI61" s="531">
        <f>BC61*'3 Saalis'!CT62</f>
        <v>0</v>
      </c>
      <c r="CJ61" s="531">
        <f>BD61*'3 Saalis'!CU62</f>
        <v>0</v>
      </c>
      <c r="CK61" s="532">
        <f>BE61*'3 Saalis'!CV62</f>
        <v>0</v>
      </c>
      <c r="CM61" s="40" t="s">
        <v>111</v>
      </c>
      <c r="CN61" s="76"/>
      <c r="CO61" s="512">
        <f>SUM(CP61:DA61)</f>
        <v>0</v>
      </c>
      <c r="CP61" s="521">
        <f>AT61*'3 Saalis'!CK84</f>
        <v>0</v>
      </c>
      <c r="CQ61" s="531">
        <f>AU61*'3 Saalis'!CL84</f>
        <v>0</v>
      </c>
      <c r="CR61" s="531">
        <f>AV61*'3 Saalis'!CM84</f>
        <v>0</v>
      </c>
      <c r="CS61" s="531">
        <f>AW61*'3 Saalis'!CN84</f>
        <v>0</v>
      </c>
      <c r="CT61" s="531">
        <f>AX61*'3 Saalis'!CO84</f>
        <v>0</v>
      </c>
      <c r="CU61" s="531">
        <f>AY61*'3 Saalis'!CP84</f>
        <v>0</v>
      </c>
      <c r="CV61" s="531">
        <f>AZ61*'3 Saalis'!CQ84</f>
        <v>0</v>
      </c>
      <c r="CW61" s="531">
        <f>BA61*'3 Saalis'!CR84</f>
        <v>0</v>
      </c>
      <c r="CX61" s="531">
        <f>BB61*'3 Saalis'!CS84</f>
        <v>0</v>
      </c>
      <c r="CY61" s="531">
        <f>BC61*'3 Saalis'!CT84</f>
        <v>0</v>
      </c>
      <c r="CZ61" s="531">
        <f>BD61*'3 Saalis'!CU84</f>
        <v>0</v>
      </c>
      <c r="DA61" s="532">
        <f>BE61*'3 Saalis'!CV84</f>
        <v>0</v>
      </c>
      <c r="DC61" s="40" t="s">
        <v>111</v>
      </c>
      <c r="DD61" s="76"/>
      <c r="DE61" s="512">
        <f>SUM(DF61:DQ61)</f>
        <v>0</v>
      </c>
      <c r="DF61" s="521">
        <f>AT61*'3 Saalis'!CK106</f>
        <v>0</v>
      </c>
      <c r="DG61" s="531">
        <f>AU61*'3 Saalis'!CL106</f>
        <v>0</v>
      </c>
      <c r="DH61" s="531">
        <f>AV61*'3 Saalis'!CM106</f>
        <v>0</v>
      </c>
      <c r="DI61" s="531">
        <f>AW61*'3 Saalis'!CN106</f>
        <v>0</v>
      </c>
      <c r="DJ61" s="531">
        <f>AX61*'3 Saalis'!CO106</f>
        <v>0</v>
      </c>
      <c r="DK61" s="531">
        <f>AY61*'3 Saalis'!CP106</f>
        <v>0</v>
      </c>
      <c r="DL61" s="531">
        <f>AZ61*'3 Saalis'!CQ106</f>
        <v>0</v>
      </c>
      <c r="DM61" s="531">
        <f>BA61*'3 Saalis'!CR106</f>
        <v>0</v>
      </c>
      <c r="DN61" s="531">
        <f>BB61*'3 Saalis'!CS106</f>
        <v>0</v>
      </c>
      <c r="DO61" s="531">
        <f>BC61*'3 Saalis'!CT106</f>
        <v>0</v>
      </c>
      <c r="DP61" s="531">
        <f>BD61*'3 Saalis'!CU106</f>
        <v>0</v>
      </c>
      <c r="DQ61" s="532">
        <f>BE61*'3 Saalis'!CV106</f>
        <v>0</v>
      </c>
      <c r="DS61" s="40" t="s">
        <v>111</v>
      </c>
      <c r="DT61" s="76"/>
      <c r="DU61" s="512">
        <f>SUM(DV61:EG61)</f>
        <v>0</v>
      </c>
      <c r="DV61" s="521">
        <f>AT61*'3 Saalis'!CK128</f>
        <v>0</v>
      </c>
      <c r="DW61" s="531">
        <f>AU61*'3 Saalis'!CL128</f>
        <v>0</v>
      </c>
      <c r="DX61" s="531">
        <f>AV61*'3 Saalis'!CM128</f>
        <v>0</v>
      </c>
      <c r="DY61" s="531">
        <f>AW61*'3 Saalis'!CN128</f>
        <v>0</v>
      </c>
      <c r="DZ61" s="531">
        <f>AX61*'3 Saalis'!CO128</f>
        <v>0</v>
      </c>
      <c r="EA61" s="531">
        <f>AY61*'3 Saalis'!CP128</f>
        <v>0</v>
      </c>
      <c r="EB61" s="531">
        <f>AZ61*'3 Saalis'!CQ128</f>
        <v>0</v>
      </c>
      <c r="EC61" s="531">
        <f>BA61*'3 Saalis'!CR128</f>
        <v>0</v>
      </c>
      <c r="ED61" s="531">
        <f>BB61*'3 Saalis'!CS128</f>
        <v>0</v>
      </c>
      <c r="EE61" s="531">
        <f>BC61*'3 Saalis'!CT128</f>
        <v>0</v>
      </c>
      <c r="EF61" s="531">
        <f>BD61*'3 Saalis'!CU128</f>
        <v>0</v>
      </c>
      <c r="EG61" s="532">
        <f>BE61*'3 Saalis'!CV128</f>
        <v>0</v>
      </c>
      <c r="EI61" s="40" t="s">
        <v>111</v>
      </c>
      <c r="EJ61" s="76"/>
      <c r="EK61" s="512">
        <f>SUM(EL61:EW61)</f>
        <v>0</v>
      </c>
      <c r="EL61" s="521">
        <f>AT61*'3 Saalis'!CK150</f>
        <v>0</v>
      </c>
      <c r="EM61" s="531">
        <f>AU61*'3 Saalis'!CL150</f>
        <v>0</v>
      </c>
      <c r="EN61" s="531">
        <f>AV61*'3 Saalis'!CM150</f>
        <v>0</v>
      </c>
      <c r="EO61" s="531">
        <f>AW61*'3 Saalis'!CN150</f>
        <v>0</v>
      </c>
      <c r="EP61" s="531">
        <f>AX61*'3 Saalis'!CO150</f>
        <v>0</v>
      </c>
      <c r="EQ61" s="531">
        <f>AY61*'3 Saalis'!CP150</f>
        <v>0</v>
      </c>
      <c r="ER61" s="531">
        <f>AZ61*'3 Saalis'!CQ150</f>
        <v>0</v>
      </c>
      <c r="ES61" s="531">
        <f>BA61*'3 Saalis'!CR150</f>
        <v>0</v>
      </c>
      <c r="ET61" s="531">
        <f>BB61*'3 Saalis'!CS150</f>
        <v>0</v>
      </c>
      <c r="EU61" s="531">
        <f>BC61*'3 Saalis'!CT150</f>
        <v>0</v>
      </c>
      <c r="EV61" s="531">
        <f>BD61*'3 Saalis'!CU150</f>
        <v>0</v>
      </c>
      <c r="EW61" s="532">
        <f>BE61*'3 Saalis'!CV150</f>
        <v>0</v>
      </c>
    </row>
    <row r="62" spans="9:153" ht="13.5" thickBot="1" x14ac:dyDescent="0.25">
      <c r="I62" s="15"/>
      <c r="L62" s="43"/>
      <c r="M62" s="1147"/>
      <c r="N62" s="43"/>
      <c r="O62" s="43"/>
      <c r="P62" s="43"/>
      <c r="Q62" s="43"/>
      <c r="R62" s="43"/>
      <c r="S62" s="43"/>
      <c r="T62" s="43"/>
      <c r="U62" s="43"/>
      <c r="V62" s="43"/>
      <c r="W62" s="43"/>
      <c r="X62" s="43"/>
      <c r="AC62" s="35"/>
      <c r="AS62" s="1147"/>
      <c r="BI62" s="1147"/>
      <c r="BW62"/>
      <c r="BX62"/>
      <c r="BY62" s="1147"/>
      <c r="CM62"/>
      <c r="CN62"/>
      <c r="CO62" s="1147"/>
      <c r="DE62" s="1147"/>
      <c r="DF62" s="106"/>
      <c r="DG62" s="106"/>
      <c r="DH62" s="106"/>
      <c r="DI62" s="106"/>
      <c r="DJ62" s="106"/>
      <c r="DK62" s="106"/>
      <c r="DL62" s="106"/>
      <c r="DM62" s="106"/>
      <c r="DN62" s="106"/>
      <c r="DO62" s="106"/>
      <c r="DP62" s="106"/>
      <c r="DQ62" s="106"/>
      <c r="DU62" s="1147"/>
      <c r="DV62" s="106"/>
      <c r="DW62" s="106"/>
      <c r="DX62" s="106"/>
      <c r="DY62" s="106"/>
      <c r="DZ62" s="106"/>
      <c r="EA62" s="106"/>
      <c r="EB62" s="106"/>
      <c r="EC62" s="106"/>
      <c r="ED62" s="106"/>
      <c r="EE62" s="106"/>
      <c r="EF62" s="106"/>
      <c r="EG62" s="106"/>
      <c r="EK62" s="1147"/>
      <c r="EL62" s="106"/>
      <c r="EM62" s="106"/>
      <c r="EN62" s="106"/>
      <c r="EO62" s="106"/>
      <c r="EP62" s="106"/>
      <c r="EQ62" s="106"/>
      <c r="ER62" s="106"/>
      <c r="ES62" s="106"/>
      <c r="ET62" s="106"/>
      <c r="EU62" s="106"/>
      <c r="EV62" s="106"/>
      <c r="EW62" s="106"/>
    </row>
    <row r="63" spans="9:153" ht="13.5" thickBot="1" x14ac:dyDescent="0.25">
      <c r="I63" s="15"/>
      <c r="K63" s="5" t="s">
        <v>526</v>
      </c>
      <c r="L63" s="59"/>
      <c r="M63" s="141" t="str">
        <f>'4 Myynti'!D183</f>
        <v>Koko</v>
      </c>
      <c r="N63" s="132">
        <f>'4 Myynti'!E183</f>
        <v>0</v>
      </c>
      <c r="O63" s="133">
        <f>'4 Myynti'!F183</f>
        <v>0</v>
      </c>
      <c r="P63" s="133">
        <f>'4 Myynti'!G183</f>
        <v>0</v>
      </c>
      <c r="Q63" s="133">
        <f>'4 Myynti'!H183</f>
        <v>0</v>
      </c>
      <c r="R63" s="133">
        <f>'4 Myynti'!I183</f>
        <v>0</v>
      </c>
      <c r="S63" s="76" t="str">
        <f>'4 Myynti'!J183</f>
        <v>Kuukausittain</v>
      </c>
      <c r="T63" s="133"/>
      <c r="U63" s="133">
        <f>'4 Myynti'!L183</f>
        <v>0</v>
      </c>
      <c r="V63" s="133">
        <f>'4 Myynti'!M183</f>
        <v>0</v>
      </c>
      <c r="W63" s="133">
        <f>'4 Myynti'!N183</f>
        <v>0</v>
      </c>
      <c r="X63" s="133">
        <f>'4 Myynti'!O183</f>
        <v>0</v>
      </c>
      <c r="Y63" s="49">
        <f>'4 Myynti'!P183</f>
        <v>0</v>
      </c>
      <c r="AA63" s="5" t="s">
        <v>526</v>
      </c>
      <c r="AB63" s="36"/>
      <c r="AC63" s="1165" t="s">
        <v>40</v>
      </c>
      <c r="AD63" s="137">
        <v>0</v>
      </c>
      <c r="AE63" s="138">
        <v>0</v>
      </c>
      <c r="AF63" s="138">
        <v>0</v>
      </c>
      <c r="AG63" s="138">
        <v>0</v>
      </c>
      <c r="AH63" s="138">
        <v>0</v>
      </c>
      <c r="AI63" s="139" t="s">
        <v>42</v>
      </c>
      <c r="AJ63" s="138"/>
      <c r="AK63" s="138">
        <v>0</v>
      </c>
      <c r="AL63" s="138">
        <v>0</v>
      </c>
      <c r="AM63" s="138">
        <v>0</v>
      </c>
      <c r="AN63" s="138">
        <v>0</v>
      </c>
      <c r="AO63" s="140">
        <v>0</v>
      </c>
      <c r="AQ63" s="5" t="s">
        <v>526</v>
      </c>
      <c r="AR63" s="36"/>
      <c r="AS63" s="141" t="s">
        <v>40</v>
      </c>
      <c r="AT63" s="137">
        <v>0</v>
      </c>
      <c r="AU63" s="138">
        <v>0</v>
      </c>
      <c r="AV63" s="138">
        <v>0</v>
      </c>
      <c r="AW63" s="138">
        <v>0</v>
      </c>
      <c r="AX63" s="138">
        <v>0</v>
      </c>
      <c r="AY63" s="139" t="s">
        <v>42</v>
      </c>
      <c r="AZ63" s="138"/>
      <c r="BA63" s="138">
        <v>0</v>
      </c>
      <c r="BB63" s="138">
        <v>0</v>
      </c>
      <c r="BC63" s="138">
        <v>0</v>
      </c>
      <c r="BD63" s="138">
        <v>0</v>
      </c>
      <c r="BE63" s="140">
        <v>0</v>
      </c>
      <c r="BG63" s="5" t="s">
        <v>526</v>
      </c>
      <c r="BH63" s="36"/>
      <c r="BI63" s="141" t="s">
        <v>40</v>
      </c>
      <c r="BJ63" s="137">
        <v>0</v>
      </c>
      <c r="BK63" s="138">
        <v>0</v>
      </c>
      <c r="BL63" s="138">
        <v>0</v>
      </c>
      <c r="BM63" s="138">
        <v>0</v>
      </c>
      <c r="BN63" s="138">
        <v>0</v>
      </c>
      <c r="BO63" s="139" t="s">
        <v>42</v>
      </c>
      <c r="BP63" s="138"/>
      <c r="BQ63" s="138">
        <v>0</v>
      </c>
      <c r="BR63" s="138">
        <v>0</v>
      </c>
      <c r="BS63" s="138">
        <v>0</v>
      </c>
      <c r="BT63" s="138">
        <v>0</v>
      </c>
      <c r="BU63" s="140">
        <v>0</v>
      </c>
      <c r="BW63" s="5" t="s">
        <v>526</v>
      </c>
      <c r="BX63" s="36"/>
      <c r="BY63" s="141" t="s">
        <v>40</v>
      </c>
      <c r="BZ63" s="137">
        <v>0</v>
      </c>
      <c r="CA63" s="138">
        <v>0</v>
      </c>
      <c r="CB63" s="138">
        <v>0</v>
      </c>
      <c r="CC63" s="138">
        <v>0</v>
      </c>
      <c r="CD63" s="138">
        <v>0</v>
      </c>
      <c r="CE63" s="139" t="s">
        <v>42</v>
      </c>
      <c r="CF63" s="138"/>
      <c r="CG63" s="138">
        <v>0</v>
      </c>
      <c r="CH63" s="138">
        <v>0</v>
      </c>
      <c r="CI63" s="138">
        <v>0</v>
      </c>
      <c r="CJ63" s="138">
        <v>0</v>
      </c>
      <c r="CK63" s="140">
        <v>0</v>
      </c>
      <c r="CM63" s="5" t="s">
        <v>526</v>
      </c>
      <c r="CN63" s="36"/>
      <c r="CO63" s="141" t="s">
        <v>40</v>
      </c>
      <c r="CP63" s="137">
        <v>0</v>
      </c>
      <c r="CQ63" s="138">
        <v>0</v>
      </c>
      <c r="CR63" s="138">
        <v>0</v>
      </c>
      <c r="CS63" s="138">
        <v>0</v>
      </c>
      <c r="CT63" s="138">
        <v>0</v>
      </c>
      <c r="CU63" s="139" t="s">
        <v>42</v>
      </c>
      <c r="CV63" s="138"/>
      <c r="CW63" s="138">
        <v>0</v>
      </c>
      <c r="CX63" s="138">
        <v>0</v>
      </c>
      <c r="CY63" s="138">
        <v>0</v>
      </c>
      <c r="CZ63" s="138">
        <v>0</v>
      </c>
      <c r="DA63" s="140">
        <v>0</v>
      </c>
      <c r="DC63" s="5" t="s">
        <v>526</v>
      </c>
      <c r="DD63" s="36"/>
      <c r="DE63" s="141" t="s">
        <v>40</v>
      </c>
      <c r="DF63" s="137">
        <v>0</v>
      </c>
      <c r="DG63" s="138">
        <v>0</v>
      </c>
      <c r="DH63" s="138">
        <v>0</v>
      </c>
      <c r="DI63" s="138">
        <v>0</v>
      </c>
      <c r="DJ63" s="138">
        <v>0</v>
      </c>
      <c r="DK63" s="139" t="s">
        <v>42</v>
      </c>
      <c r="DL63" s="138"/>
      <c r="DM63" s="138">
        <v>0</v>
      </c>
      <c r="DN63" s="138">
        <v>0</v>
      </c>
      <c r="DO63" s="138">
        <v>0</v>
      </c>
      <c r="DP63" s="138">
        <v>0</v>
      </c>
      <c r="DQ63" s="140">
        <v>0</v>
      </c>
      <c r="DS63" s="5" t="s">
        <v>526</v>
      </c>
      <c r="DT63" s="36"/>
      <c r="DU63" s="141" t="s">
        <v>40</v>
      </c>
      <c r="DV63" s="137">
        <v>0</v>
      </c>
      <c r="DW63" s="138">
        <v>0</v>
      </c>
      <c r="DX63" s="138">
        <v>0</v>
      </c>
      <c r="DY63" s="138">
        <v>0</v>
      </c>
      <c r="DZ63" s="138">
        <v>0</v>
      </c>
      <c r="EA63" s="139" t="s">
        <v>42</v>
      </c>
      <c r="EB63" s="138"/>
      <c r="EC63" s="138">
        <v>0</v>
      </c>
      <c r="ED63" s="138">
        <v>0</v>
      </c>
      <c r="EE63" s="138">
        <v>0</v>
      </c>
      <c r="EF63" s="138">
        <v>0</v>
      </c>
      <c r="EG63" s="140">
        <v>0</v>
      </c>
      <c r="EI63" s="5" t="s">
        <v>526</v>
      </c>
      <c r="EJ63" s="36"/>
      <c r="EK63" s="141" t="s">
        <v>40</v>
      </c>
      <c r="EL63" s="137">
        <v>0</v>
      </c>
      <c r="EM63" s="138">
        <v>0</v>
      </c>
      <c r="EN63" s="138">
        <v>0</v>
      </c>
      <c r="EO63" s="138">
        <v>0</v>
      </c>
      <c r="EP63" s="138">
        <v>0</v>
      </c>
      <c r="EQ63" s="139" t="s">
        <v>42</v>
      </c>
      <c r="ER63" s="138"/>
      <c r="ES63" s="138">
        <v>0</v>
      </c>
      <c r="ET63" s="138">
        <v>0</v>
      </c>
      <c r="EU63" s="138">
        <v>0</v>
      </c>
      <c r="EV63" s="138">
        <v>0</v>
      </c>
      <c r="EW63" s="140">
        <v>0</v>
      </c>
    </row>
    <row r="64" spans="9:153" ht="13.5" thickBot="1" x14ac:dyDescent="0.25">
      <c r="I64" s="15"/>
      <c r="K64" s="57"/>
      <c r="L64" s="59"/>
      <c r="M64" s="141" t="str">
        <f>'4 Myynti'!D184</f>
        <v>kausi</v>
      </c>
      <c r="N64" s="72">
        <f>'4 Myynti'!E184</f>
        <v>1</v>
      </c>
      <c r="O64" s="70">
        <f>'4 Myynti'!F184</f>
        <v>2</v>
      </c>
      <c r="P64" s="70">
        <f>'4 Myynti'!G184</f>
        <v>3</v>
      </c>
      <c r="Q64" s="70">
        <f>'4 Myynti'!H184</f>
        <v>4</v>
      </c>
      <c r="R64" s="70">
        <f>'4 Myynti'!I184</f>
        <v>5</v>
      </c>
      <c r="S64" s="70">
        <f>'4 Myynti'!J184</f>
        <v>6</v>
      </c>
      <c r="T64" s="70">
        <f>'4 Myynti'!K184</f>
        <v>7</v>
      </c>
      <c r="U64" s="70">
        <f>'4 Myynti'!L184</f>
        <v>8</v>
      </c>
      <c r="V64" s="70">
        <f>'4 Myynti'!M184</f>
        <v>9</v>
      </c>
      <c r="W64" s="70">
        <f>'4 Myynti'!N184</f>
        <v>10</v>
      </c>
      <c r="X64" s="70">
        <f>'4 Myynti'!O184</f>
        <v>11</v>
      </c>
      <c r="Y64" s="71">
        <f>'4 Myynti'!P184</f>
        <v>12</v>
      </c>
      <c r="AA64" s="57"/>
      <c r="AB64" s="59"/>
      <c r="AC64" s="1166" t="s">
        <v>41</v>
      </c>
      <c r="AD64" s="142">
        <v>1</v>
      </c>
      <c r="AE64" s="143">
        <v>2</v>
      </c>
      <c r="AF64" s="143">
        <v>3</v>
      </c>
      <c r="AG64" s="143">
        <v>4</v>
      </c>
      <c r="AH64" s="143">
        <v>5</v>
      </c>
      <c r="AI64" s="143">
        <v>6</v>
      </c>
      <c r="AJ64" s="143">
        <v>7</v>
      </c>
      <c r="AK64" s="143">
        <v>8</v>
      </c>
      <c r="AL64" s="143">
        <v>9</v>
      </c>
      <c r="AM64" s="143">
        <v>10</v>
      </c>
      <c r="AN64" s="143">
        <v>11</v>
      </c>
      <c r="AO64" s="144">
        <v>12</v>
      </c>
      <c r="AQ64" s="57"/>
      <c r="AR64" s="59"/>
      <c r="AS64" s="141" t="s">
        <v>41</v>
      </c>
      <c r="AT64" s="142">
        <v>1</v>
      </c>
      <c r="AU64" s="143">
        <v>2</v>
      </c>
      <c r="AV64" s="143">
        <v>3</v>
      </c>
      <c r="AW64" s="143">
        <v>4</v>
      </c>
      <c r="AX64" s="143">
        <v>5</v>
      </c>
      <c r="AY64" s="143">
        <v>6</v>
      </c>
      <c r="AZ64" s="143">
        <v>7</v>
      </c>
      <c r="BA64" s="143">
        <v>8</v>
      </c>
      <c r="BB64" s="143">
        <v>9</v>
      </c>
      <c r="BC64" s="143">
        <v>10</v>
      </c>
      <c r="BD64" s="143">
        <v>11</v>
      </c>
      <c r="BE64" s="144">
        <v>12</v>
      </c>
      <c r="BG64" s="57"/>
      <c r="BH64" s="59"/>
      <c r="BI64" s="141" t="s">
        <v>41</v>
      </c>
      <c r="BJ64" s="142">
        <v>1</v>
      </c>
      <c r="BK64" s="143">
        <v>2</v>
      </c>
      <c r="BL64" s="143">
        <v>3</v>
      </c>
      <c r="BM64" s="143">
        <v>4</v>
      </c>
      <c r="BN64" s="143">
        <v>5</v>
      </c>
      <c r="BO64" s="143">
        <v>6</v>
      </c>
      <c r="BP64" s="143">
        <v>7</v>
      </c>
      <c r="BQ64" s="143">
        <v>8</v>
      </c>
      <c r="BR64" s="143">
        <v>9</v>
      </c>
      <c r="BS64" s="143">
        <v>10</v>
      </c>
      <c r="BT64" s="143">
        <v>11</v>
      </c>
      <c r="BU64" s="144">
        <v>12</v>
      </c>
      <c r="BW64" s="57"/>
      <c r="BX64" s="59"/>
      <c r="BY64" s="141" t="s">
        <v>41</v>
      </c>
      <c r="BZ64" s="142">
        <v>1</v>
      </c>
      <c r="CA64" s="143">
        <v>2</v>
      </c>
      <c r="CB64" s="143">
        <v>3</v>
      </c>
      <c r="CC64" s="143">
        <v>4</v>
      </c>
      <c r="CD64" s="143">
        <v>5</v>
      </c>
      <c r="CE64" s="143">
        <v>6</v>
      </c>
      <c r="CF64" s="143">
        <v>7</v>
      </c>
      <c r="CG64" s="143">
        <v>8</v>
      </c>
      <c r="CH64" s="143">
        <v>9</v>
      </c>
      <c r="CI64" s="143">
        <v>10</v>
      </c>
      <c r="CJ64" s="143">
        <v>11</v>
      </c>
      <c r="CK64" s="144">
        <v>12</v>
      </c>
      <c r="CM64" s="57"/>
      <c r="CN64" s="59"/>
      <c r="CO64" s="141" t="s">
        <v>41</v>
      </c>
      <c r="CP64" s="142">
        <v>1</v>
      </c>
      <c r="CQ64" s="143">
        <v>2</v>
      </c>
      <c r="CR64" s="143">
        <v>3</v>
      </c>
      <c r="CS64" s="143">
        <v>4</v>
      </c>
      <c r="CT64" s="143">
        <v>5</v>
      </c>
      <c r="CU64" s="143">
        <v>6</v>
      </c>
      <c r="CV64" s="143">
        <v>7</v>
      </c>
      <c r="CW64" s="143">
        <v>8</v>
      </c>
      <c r="CX64" s="143">
        <v>9</v>
      </c>
      <c r="CY64" s="143">
        <v>10</v>
      </c>
      <c r="CZ64" s="143">
        <v>11</v>
      </c>
      <c r="DA64" s="144">
        <v>12</v>
      </c>
      <c r="DC64" s="57"/>
      <c r="DD64" s="59"/>
      <c r="DE64" s="141" t="s">
        <v>41</v>
      </c>
      <c r="DF64" s="142">
        <v>1</v>
      </c>
      <c r="DG64" s="143">
        <v>2</v>
      </c>
      <c r="DH64" s="143">
        <v>3</v>
      </c>
      <c r="DI64" s="143">
        <v>4</v>
      </c>
      <c r="DJ64" s="143">
        <v>5</v>
      </c>
      <c r="DK64" s="143">
        <v>6</v>
      </c>
      <c r="DL64" s="143">
        <v>7</v>
      </c>
      <c r="DM64" s="143">
        <v>8</v>
      </c>
      <c r="DN64" s="143">
        <v>9</v>
      </c>
      <c r="DO64" s="143">
        <v>10</v>
      </c>
      <c r="DP64" s="143">
        <v>11</v>
      </c>
      <c r="DQ64" s="144">
        <v>12</v>
      </c>
      <c r="DS64" s="57"/>
      <c r="DT64" s="59"/>
      <c r="DU64" s="141" t="s">
        <v>41</v>
      </c>
      <c r="DV64" s="142">
        <v>1</v>
      </c>
      <c r="DW64" s="143">
        <v>2</v>
      </c>
      <c r="DX64" s="143">
        <v>3</v>
      </c>
      <c r="DY64" s="143">
        <v>4</v>
      </c>
      <c r="DZ64" s="143">
        <v>5</v>
      </c>
      <c r="EA64" s="143">
        <v>6</v>
      </c>
      <c r="EB64" s="143">
        <v>7</v>
      </c>
      <c r="EC64" s="143">
        <v>8</v>
      </c>
      <c r="ED64" s="143">
        <v>9</v>
      </c>
      <c r="EE64" s="143">
        <v>10</v>
      </c>
      <c r="EF64" s="143">
        <v>11</v>
      </c>
      <c r="EG64" s="144">
        <v>12</v>
      </c>
      <c r="EI64" s="57"/>
      <c r="EJ64" s="59"/>
      <c r="EK64" s="141" t="s">
        <v>41</v>
      </c>
      <c r="EL64" s="142">
        <v>1</v>
      </c>
      <c r="EM64" s="143">
        <v>2</v>
      </c>
      <c r="EN64" s="143">
        <v>3</v>
      </c>
      <c r="EO64" s="143">
        <v>4</v>
      </c>
      <c r="EP64" s="143">
        <v>5</v>
      </c>
      <c r="EQ64" s="143">
        <v>6</v>
      </c>
      <c r="ER64" s="143">
        <v>7</v>
      </c>
      <c r="ES64" s="143">
        <v>8</v>
      </c>
      <c r="ET64" s="143">
        <v>9</v>
      </c>
      <c r="EU64" s="143">
        <v>10</v>
      </c>
      <c r="EV64" s="143">
        <v>11</v>
      </c>
      <c r="EW64" s="144">
        <v>12</v>
      </c>
    </row>
    <row r="65" spans="9:153" x14ac:dyDescent="0.2">
      <c r="I65" s="15"/>
      <c r="K65" s="5" t="s">
        <v>110</v>
      </c>
      <c r="L65" s="13"/>
      <c r="M65" s="425">
        <f>SUM(N65:Y65)</f>
        <v>0</v>
      </c>
      <c r="N65" s="499">
        <f>'4 Myynti'!E187+'4 Myynti'!E191</f>
        <v>0</v>
      </c>
      <c r="O65" s="499">
        <f>'4 Myynti'!F187+'4 Myynti'!F191</f>
        <v>0</v>
      </c>
      <c r="P65" s="499">
        <f>'4 Myynti'!G187+'4 Myynti'!G191</f>
        <v>0</v>
      </c>
      <c r="Q65" s="499">
        <f>'4 Myynti'!H187+'4 Myynti'!H191</f>
        <v>0</v>
      </c>
      <c r="R65" s="499">
        <f>'4 Myynti'!I187+'4 Myynti'!I191</f>
        <v>0</v>
      </c>
      <c r="S65" s="499">
        <f>'4 Myynti'!J187+'4 Myynti'!J191</f>
        <v>0</v>
      </c>
      <c r="T65" s="499">
        <f>'4 Myynti'!K187+'4 Myynti'!K191</f>
        <v>0</v>
      </c>
      <c r="U65" s="499">
        <f>'4 Myynti'!L187+'4 Myynti'!L191</f>
        <v>0</v>
      </c>
      <c r="V65" s="499">
        <f>'4 Myynti'!M187+'4 Myynti'!M191</f>
        <v>0</v>
      </c>
      <c r="W65" s="499">
        <f>'4 Myynti'!N187+'4 Myynti'!N191</f>
        <v>0</v>
      </c>
      <c r="X65" s="499">
        <f>'4 Myynti'!O187+'4 Myynti'!O191</f>
        <v>0</v>
      </c>
      <c r="Y65" s="499">
        <f>'4 Myynti'!P187+'4 Myynti'!P191</f>
        <v>0</v>
      </c>
      <c r="AA65" s="5" t="s">
        <v>110</v>
      </c>
      <c r="AB65" s="13"/>
      <c r="AC65" s="1390">
        <f>SUM(AD65:AO65)</f>
        <v>0</v>
      </c>
      <c r="AD65" s="499">
        <f>$C$42*N65/100*$D$42</f>
        <v>0</v>
      </c>
      <c r="AE65" s="499">
        <f t="shared" ref="AE65:AO65" si="36">$C$42*O65/100*$D$42</f>
        <v>0</v>
      </c>
      <c r="AF65" s="499">
        <f t="shared" si="36"/>
        <v>0</v>
      </c>
      <c r="AG65" s="499">
        <f t="shared" si="36"/>
        <v>0</v>
      </c>
      <c r="AH65" s="499">
        <f t="shared" si="36"/>
        <v>0</v>
      </c>
      <c r="AI65" s="499">
        <f t="shared" si="36"/>
        <v>0</v>
      </c>
      <c r="AJ65" s="499">
        <f t="shared" si="36"/>
        <v>0</v>
      </c>
      <c r="AK65" s="499">
        <f t="shared" si="36"/>
        <v>0</v>
      </c>
      <c r="AL65" s="499">
        <f t="shared" si="36"/>
        <v>0</v>
      </c>
      <c r="AM65" s="499">
        <f t="shared" si="36"/>
        <v>0</v>
      </c>
      <c r="AN65" s="499">
        <f t="shared" si="36"/>
        <v>0</v>
      </c>
      <c r="AO65" s="499">
        <f t="shared" si="36"/>
        <v>0</v>
      </c>
      <c r="AQ65" s="5" t="s">
        <v>110</v>
      </c>
      <c r="AR65" s="13"/>
      <c r="AS65" s="425">
        <f>SUM(AT65:BE65)</f>
        <v>0</v>
      </c>
      <c r="AT65" s="499">
        <f>AD65*'11. Työtunnit'!$C$7</f>
        <v>0</v>
      </c>
      <c r="AU65" s="499">
        <f>AE65*'11. Työtunnit'!$C$7</f>
        <v>0</v>
      </c>
      <c r="AV65" s="499">
        <f>AF65*'11. Työtunnit'!$C$7</f>
        <v>0</v>
      </c>
      <c r="AW65" s="499">
        <f>AG65*'11. Työtunnit'!$C$7</f>
        <v>0</v>
      </c>
      <c r="AX65" s="499">
        <f>AH65*'11. Työtunnit'!$C$7</f>
        <v>0</v>
      </c>
      <c r="AY65" s="499">
        <f>AI65*'11. Työtunnit'!$C$7</f>
        <v>0</v>
      </c>
      <c r="AZ65" s="499">
        <f>AJ65*'11. Työtunnit'!$C$7</f>
        <v>0</v>
      </c>
      <c r="BA65" s="499">
        <f>AK65*'11. Työtunnit'!$C$7</f>
        <v>0</v>
      </c>
      <c r="BB65" s="499">
        <f>AL65*'11. Työtunnit'!$C$7</f>
        <v>0</v>
      </c>
      <c r="BC65" s="499">
        <f>AM65*'11. Työtunnit'!$C$7</f>
        <v>0</v>
      </c>
      <c r="BD65" s="499">
        <f>AN65*'11. Työtunnit'!$C$7</f>
        <v>0</v>
      </c>
      <c r="BE65" s="499">
        <f>AO65*'11. Työtunnit'!$C$7</f>
        <v>0</v>
      </c>
      <c r="BG65" s="5" t="s">
        <v>110</v>
      </c>
      <c r="BH65" s="13"/>
      <c r="BI65" s="425">
        <f>SUM(BJ65:BU65)</f>
        <v>0</v>
      </c>
      <c r="BJ65" s="499">
        <f>AT65*'3 Saalis'!CK42</f>
        <v>0</v>
      </c>
      <c r="BK65" s="499">
        <f>AU65*'3 Saalis'!CL42</f>
        <v>0</v>
      </c>
      <c r="BL65" s="499">
        <f>AV65*'3 Saalis'!CM42</f>
        <v>0</v>
      </c>
      <c r="BM65" s="499">
        <f>AW65*'3 Saalis'!CN42</f>
        <v>0</v>
      </c>
      <c r="BN65" s="499">
        <f>AX65*'3 Saalis'!CO42</f>
        <v>0</v>
      </c>
      <c r="BO65" s="499">
        <f>AY65*'3 Saalis'!CP42</f>
        <v>0</v>
      </c>
      <c r="BP65" s="499">
        <f>AZ65*'3 Saalis'!CQ42</f>
        <v>0</v>
      </c>
      <c r="BQ65" s="499">
        <f>BA65*'3 Saalis'!CR42</f>
        <v>0</v>
      </c>
      <c r="BR65" s="499">
        <f>BB65*'3 Saalis'!CS42</f>
        <v>0</v>
      </c>
      <c r="BS65" s="499">
        <f>BC65*'3 Saalis'!CT42</f>
        <v>0</v>
      </c>
      <c r="BT65" s="499">
        <f>BD65*'3 Saalis'!CU42</f>
        <v>0</v>
      </c>
      <c r="BU65" s="499">
        <f>BE65*'3 Saalis'!CV42</f>
        <v>0</v>
      </c>
      <c r="BW65" s="5" t="s">
        <v>110</v>
      </c>
      <c r="BX65" s="13"/>
      <c r="BY65" s="425">
        <f>SUM(BZ65:CK65)</f>
        <v>0</v>
      </c>
      <c r="BZ65" s="499">
        <f>AT65*'3 Saalis'!CK64</f>
        <v>0</v>
      </c>
      <c r="CA65" s="499">
        <f>AU65*'3 Saalis'!CL64</f>
        <v>0</v>
      </c>
      <c r="CB65" s="499">
        <f>AV65*'3 Saalis'!CM64</f>
        <v>0</v>
      </c>
      <c r="CC65" s="499">
        <f>AW65*'3 Saalis'!CN64</f>
        <v>0</v>
      </c>
      <c r="CD65" s="499">
        <f>AX65*'3 Saalis'!CO64</f>
        <v>0</v>
      </c>
      <c r="CE65" s="499">
        <f>AY65*'3 Saalis'!CP64</f>
        <v>0</v>
      </c>
      <c r="CF65" s="499">
        <f>AZ65*'3 Saalis'!CQ64</f>
        <v>0</v>
      </c>
      <c r="CG65" s="499">
        <f>BA65*'3 Saalis'!CR64</f>
        <v>0</v>
      </c>
      <c r="CH65" s="499">
        <f>BB65*'3 Saalis'!CS64</f>
        <v>0</v>
      </c>
      <c r="CI65" s="499">
        <f>BC65*'3 Saalis'!CT64</f>
        <v>0</v>
      </c>
      <c r="CJ65" s="499">
        <f>BD65*'3 Saalis'!CU64</f>
        <v>0</v>
      </c>
      <c r="CK65" s="499">
        <f>BE65*'3 Saalis'!CV64</f>
        <v>0</v>
      </c>
      <c r="CM65" s="5" t="s">
        <v>110</v>
      </c>
      <c r="CN65" s="13"/>
      <c r="CO65" s="425">
        <f>SUM(CP65:DA65)</f>
        <v>0</v>
      </c>
      <c r="CP65" s="499">
        <f>AT65*'3 Saalis'!CK86</f>
        <v>0</v>
      </c>
      <c r="CQ65" s="499">
        <f>AU65*'3 Saalis'!CL86</f>
        <v>0</v>
      </c>
      <c r="CR65" s="499">
        <f>AV65*'3 Saalis'!CM86</f>
        <v>0</v>
      </c>
      <c r="CS65" s="499">
        <f>AW65*'3 Saalis'!CN86</f>
        <v>0</v>
      </c>
      <c r="CT65" s="499">
        <f>AX65*'3 Saalis'!CO86</f>
        <v>0</v>
      </c>
      <c r="CU65" s="499">
        <f>AY65*'3 Saalis'!CP86</f>
        <v>0</v>
      </c>
      <c r="CV65" s="499">
        <f>AZ65*'3 Saalis'!CQ86</f>
        <v>0</v>
      </c>
      <c r="CW65" s="499">
        <f>BA65*'3 Saalis'!CR86</f>
        <v>0</v>
      </c>
      <c r="CX65" s="499">
        <f>BB65*'3 Saalis'!CS86</f>
        <v>0</v>
      </c>
      <c r="CY65" s="499">
        <f>BC65*'3 Saalis'!CT86</f>
        <v>0</v>
      </c>
      <c r="CZ65" s="499">
        <f>BD65*'3 Saalis'!CU86</f>
        <v>0</v>
      </c>
      <c r="DA65" s="499">
        <f>BE65*'3 Saalis'!CV86</f>
        <v>0</v>
      </c>
      <c r="DC65" s="5" t="s">
        <v>110</v>
      </c>
      <c r="DD65" s="13"/>
      <c r="DE65" s="425">
        <f>SUM(DF65:DQ65)</f>
        <v>0</v>
      </c>
      <c r="DF65" s="499">
        <f>AT65*'3 Saalis'!CK108</f>
        <v>0</v>
      </c>
      <c r="DG65" s="499">
        <f>AU65*'3 Saalis'!CL108</f>
        <v>0</v>
      </c>
      <c r="DH65" s="499">
        <f>AV65*'3 Saalis'!CM108</f>
        <v>0</v>
      </c>
      <c r="DI65" s="499">
        <f>AW65*'3 Saalis'!CN108</f>
        <v>0</v>
      </c>
      <c r="DJ65" s="499">
        <f>AX65*'3 Saalis'!CO108</f>
        <v>0</v>
      </c>
      <c r="DK65" s="499">
        <f>AY65*'3 Saalis'!CP108</f>
        <v>0</v>
      </c>
      <c r="DL65" s="499">
        <f>AZ65*'3 Saalis'!CQ108</f>
        <v>0</v>
      </c>
      <c r="DM65" s="499">
        <f>BA65*'3 Saalis'!CR108</f>
        <v>0</v>
      </c>
      <c r="DN65" s="499">
        <f>BB65*'3 Saalis'!CS108</f>
        <v>0</v>
      </c>
      <c r="DO65" s="499">
        <f>BC65*'3 Saalis'!CT108</f>
        <v>0</v>
      </c>
      <c r="DP65" s="499">
        <f>BD65*'3 Saalis'!CU108</f>
        <v>0</v>
      </c>
      <c r="DQ65" s="499">
        <f>BE65*'3 Saalis'!CV108</f>
        <v>0</v>
      </c>
      <c r="DS65" s="5" t="s">
        <v>110</v>
      </c>
      <c r="DT65" s="13"/>
      <c r="DU65" s="425">
        <f>SUM(DV65:EG65)</f>
        <v>0</v>
      </c>
      <c r="DV65" s="499">
        <f>AT65*'3 Saalis'!CK130</f>
        <v>0</v>
      </c>
      <c r="DW65" s="499">
        <f>AU65*'3 Saalis'!CL130</f>
        <v>0</v>
      </c>
      <c r="DX65" s="499">
        <f>AV65*'3 Saalis'!CM130</f>
        <v>0</v>
      </c>
      <c r="DY65" s="499">
        <f>AW65*'3 Saalis'!CN130</f>
        <v>0</v>
      </c>
      <c r="DZ65" s="499">
        <f>AX65*'3 Saalis'!CO130</f>
        <v>0</v>
      </c>
      <c r="EA65" s="499">
        <f>AY65*'3 Saalis'!CP130</f>
        <v>0</v>
      </c>
      <c r="EB65" s="499">
        <f>AZ65*'3 Saalis'!CQ130</f>
        <v>0</v>
      </c>
      <c r="EC65" s="499">
        <f>BA65*'3 Saalis'!CR130</f>
        <v>0</v>
      </c>
      <c r="ED65" s="499">
        <f>BB65*'3 Saalis'!CS130</f>
        <v>0</v>
      </c>
      <c r="EE65" s="499">
        <f>BC65*'3 Saalis'!CT130</f>
        <v>0</v>
      </c>
      <c r="EF65" s="499">
        <f>BD65*'3 Saalis'!CU130</f>
        <v>0</v>
      </c>
      <c r="EG65" s="499">
        <f>BE65*'3 Saalis'!CV130</f>
        <v>0</v>
      </c>
      <c r="EI65" s="5" t="s">
        <v>110</v>
      </c>
      <c r="EJ65" s="13"/>
      <c r="EK65" s="425">
        <f>SUM(EL65:EW65)</f>
        <v>0</v>
      </c>
      <c r="EL65" s="499">
        <f>AT65*'3 Saalis'!CK152</f>
        <v>0</v>
      </c>
      <c r="EM65" s="499">
        <f>AU65*'3 Saalis'!CL152</f>
        <v>0</v>
      </c>
      <c r="EN65" s="499">
        <f>AV65*'3 Saalis'!CM152</f>
        <v>0</v>
      </c>
      <c r="EO65" s="499">
        <f>AW65*'3 Saalis'!CN152</f>
        <v>0</v>
      </c>
      <c r="EP65" s="499">
        <f>AX65*'3 Saalis'!CO152</f>
        <v>0</v>
      </c>
      <c r="EQ65" s="499">
        <f>AY65*'3 Saalis'!CP152</f>
        <v>0</v>
      </c>
      <c r="ER65" s="499">
        <f>AZ65*'3 Saalis'!CQ152</f>
        <v>0</v>
      </c>
      <c r="ES65" s="499">
        <f>BA65*'3 Saalis'!CR152</f>
        <v>0</v>
      </c>
      <c r="ET65" s="499">
        <f>BB65*'3 Saalis'!CS152</f>
        <v>0</v>
      </c>
      <c r="EU65" s="499">
        <f>BC65*'3 Saalis'!CT152</f>
        <v>0</v>
      </c>
      <c r="EV65" s="499">
        <f>BD65*'3 Saalis'!CU152</f>
        <v>0</v>
      </c>
      <c r="EW65" s="499">
        <f>BE65*'3 Saalis'!CV152</f>
        <v>0</v>
      </c>
    </row>
    <row r="66" spans="9:153" ht="13.5" thickBot="1" x14ac:dyDescent="0.25">
      <c r="I66" s="15"/>
      <c r="K66" s="40" t="s">
        <v>111</v>
      </c>
      <c r="L66" s="76"/>
      <c r="M66" s="512">
        <f>SUM(N66:Y66)</f>
        <v>0</v>
      </c>
      <c r="N66" s="521">
        <f>'4 Myynti'!E188+'4 Myynti'!E192</f>
        <v>0</v>
      </c>
      <c r="O66" s="531">
        <f>'4 Myynti'!F188+'4 Myynti'!F192</f>
        <v>0</v>
      </c>
      <c r="P66" s="531">
        <f>'4 Myynti'!G188+'4 Myynti'!G192</f>
        <v>0</v>
      </c>
      <c r="Q66" s="531">
        <f>'4 Myynti'!H188+'4 Myynti'!H192</f>
        <v>0</v>
      </c>
      <c r="R66" s="531">
        <f>'4 Myynti'!I188+'4 Myynti'!I192</f>
        <v>0</v>
      </c>
      <c r="S66" s="531">
        <f>'4 Myynti'!J188+'4 Myynti'!J192</f>
        <v>0</v>
      </c>
      <c r="T66" s="531">
        <f>'4 Myynti'!K188+'4 Myynti'!K192</f>
        <v>0</v>
      </c>
      <c r="U66" s="531">
        <f>'4 Myynti'!L188+'4 Myynti'!L192</f>
        <v>0</v>
      </c>
      <c r="V66" s="531">
        <f>'4 Myynti'!M188+'4 Myynti'!M192</f>
        <v>0</v>
      </c>
      <c r="W66" s="531">
        <f>'4 Myynti'!N188+'4 Myynti'!N192</f>
        <v>0</v>
      </c>
      <c r="X66" s="531">
        <f>'4 Myynti'!O188+'4 Myynti'!O192</f>
        <v>0</v>
      </c>
      <c r="Y66" s="532">
        <f>'4 Myynti'!P188+'4 Myynti'!P192</f>
        <v>0</v>
      </c>
      <c r="AA66" s="40" t="s">
        <v>111</v>
      </c>
      <c r="AB66" s="76"/>
      <c r="AC66" s="1391">
        <f>SUM(AD66:AO66)</f>
        <v>0</v>
      </c>
      <c r="AD66" s="521">
        <f t="shared" ref="AD66:AO66" si="37">N66/100*$F$42</f>
        <v>0</v>
      </c>
      <c r="AE66" s="531">
        <f t="shared" si="37"/>
        <v>0</v>
      </c>
      <c r="AF66" s="531">
        <f t="shared" si="37"/>
        <v>0</v>
      </c>
      <c r="AG66" s="531">
        <f t="shared" si="37"/>
        <v>0</v>
      </c>
      <c r="AH66" s="531">
        <f t="shared" si="37"/>
        <v>0</v>
      </c>
      <c r="AI66" s="531">
        <f t="shared" si="37"/>
        <v>0</v>
      </c>
      <c r="AJ66" s="531">
        <f t="shared" si="37"/>
        <v>0</v>
      </c>
      <c r="AK66" s="531">
        <f t="shared" si="37"/>
        <v>0</v>
      </c>
      <c r="AL66" s="531">
        <f t="shared" si="37"/>
        <v>0</v>
      </c>
      <c r="AM66" s="531">
        <f t="shared" si="37"/>
        <v>0</v>
      </c>
      <c r="AN66" s="531">
        <f t="shared" si="37"/>
        <v>0</v>
      </c>
      <c r="AO66" s="532">
        <f t="shared" si="37"/>
        <v>0</v>
      </c>
      <c r="AQ66" s="40" t="s">
        <v>111</v>
      </c>
      <c r="AR66" s="76"/>
      <c r="AS66" s="512">
        <f>SUM(AT66:BE66)</f>
        <v>0</v>
      </c>
      <c r="AT66" s="521">
        <f>AD66*'11. Työtunnit'!$C$7</f>
        <v>0</v>
      </c>
      <c r="AU66" s="531">
        <f>AE66*'11. Työtunnit'!$C$7</f>
        <v>0</v>
      </c>
      <c r="AV66" s="531">
        <f>AF66*'11. Työtunnit'!$C$7</f>
        <v>0</v>
      </c>
      <c r="AW66" s="531">
        <f>AG66*'11. Työtunnit'!$C$7</f>
        <v>0</v>
      </c>
      <c r="AX66" s="531">
        <f>AH66*'11. Työtunnit'!$C$7</f>
        <v>0</v>
      </c>
      <c r="AY66" s="531">
        <f>AI66*'11. Työtunnit'!$C$7</f>
        <v>0</v>
      </c>
      <c r="AZ66" s="531">
        <f>AJ66*'11. Työtunnit'!$C$7</f>
        <v>0</v>
      </c>
      <c r="BA66" s="531">
        <f>AK66*'11. Työtunnit'!$C$7</f>
        <v>0</v>
      </c>
      <c r="BB66" s="531">
        <f>AL66*'11. Työtunnit'!$C$7</f>
        <v>0</v>
      </c>
      <c r="BC66" s="531">
        <f>AM66*'11. Työtunnit'!$C$7</f>
        <v>0</v>
      </c>
      <c r="BD66" s="531">
        <f>AN66*'11. Työtunnit'!$C$7</f>
        <v>0</v>
      </c>
      <c r="BE66" s="532">
        <f>AO66*'11. Työtunnit'!$C$7</f>
        <v>0</v>
      </c>
      <c r="BG66" s="40" t="s">
        <v>111</v>
      </c>
      <c r="BH66" s="76"/>
      <c r="BI66" s="512">
        <f>SUM(BJ66:BU66)</f>
        <v>0</v>
      </c>
      <c r="BJ66" s="521">
        <f>AT66*'3 Saalis'!CK42</f>
        <v>0</v>
      </c>
      <c r="BK66" s="531">
        <f>AU66*'3 Saalis'!CL42</f>
        <v>0</v>
      </c>
      <c r="BL66" s="531">
        <f>AV66*'3 Saalis'!CM42</f>
        <v>0</v>
      </c>
      <c r="BM66" s="531">
        <f>AW66*'3 Saalis'!CN42</f>
        <v>0</v>
      </c>
      <c r="BN66" s="531">
        <f>AX66*'3 Saalis'!CO42</f>
        <v>0</v>
      </c>
      <c r="BO66" s="531">
        <f>AY66*'3 Saalis'!CP42</f>
        <v>0</v>
      </c>
      <c r="BP66" s="531">
        <f>AZ66*'3 Saalis'!CQ42</f>
        <v>0</v>
      </c>
      <c r="BQ66" s="531">
        <f>BA66*'3 Saalis'!CR42</f>
        <v>0</v>
      </c>
      <c r="BR66" s="531">
        <f>BB66*'3 Saalis'!CS42</f>
        <v>0</v>
      </c>
      <c r="BS66" s="531">
        <f>BC66*'3 Saalis'!CT42</f>
        <v>0</v>
      </c>
      <c r="BT66" s="531">
        <f>BD66*'3 Saalis'!CU42</f>
        <v>0</v>
      </c>
      <c r="BU66" s="532">
        <f>BE66*'3 Saalis'!CV42</f>
        <v>0</v>
      </c>
      <c r="BW66" s="40" t="s">
        <v>111</v>
      </c>
      <c r="BX66" s="76"/>
      <c r="BY66" s="512">
        <f>SUM(BZ66:CK66)</f>
        <v>0</v>
      </c>
      <c r="BZ66" s="521">
        <f>AT66*'3 Saalis'!CK64</f>
        <v>0</v>
      </c>
      <c r="CA66" s="531">
        <f>AU66*'3 Saalis'!CL64</f>
        <v>0</v>
      </c>
      <c r="CB66" s="531">
        <f>AV66*'3 Saalis'!CM64</f>
        <v>0</v>
      </c>
      <c r="CC66" s="531">
        <f>AW66*'3 Saalis'!CN64</f>
        <v>0</v>
      </c>
      <c r="CD66" s="531">
        <f>AX66*'3 Saalis'!CO64</f>
        <v>0</v>
      </c>
      <c r="CE66" s="531">
        <f>AY66*'3 Saalis'!CP64</f>
        <v>0</v>
      </c>
      <c r="CF66" s="531">
        <f>AZ66*'3 Saalis'!CQ64</f>
        <v>0</v>
      </c>
      <c r="CG66" s="531">
        <f>BA66*'3 Saalis'!CR64</f>
        <v>0</v>
      </c>
      <c r="CH66" s="531">
        <f>BB66*'3 Saalis'!CS64</f>
        <v>0</v>
      </c>
      <c r="CI66" s="531">
        <f>BC66*'3 Saalis'!CT64</f>
        <v>0</v>
      </c>
      <c r="CJ66" s="531">
        <f>BD66*'3 Saalis'!CU64</f>
        <v>0</v>
      </c>
      <c r="CK66" s="532">
        <f>BE66*'3 Saalis'!CV64</f>
        <v>0</v>
      </c>
      <c r="CM66" s="40" t="s">
        <v>111</v>
      </c>
      <c r="CN66" s="76"/>
      <c r="CO66" s="512">
        <f>SUM(CP66:DA66)</f>
        <v>0</v>
      </c>
      <c r="CP66" s="521">
        <f>AT66*'3 Saalis'!CK86</f>
        <v>0</v>
      </c>
      <c r="CQ66" s="531">
        <f>AU66*'3 Saalis'!CL86</f>
        <v>0</v>
      </c>
      <c r="CR66" s="531">
        <f>AV66*'3 Saalis'!CM86</f>
        <v>0</v>
      </c>
      <c r="CS66" s="531">
        <f>AW66*'3 Saalis'!CN86</f>
        <v>0</v>
      </c>
      <c r="CT66" s="531">
        <f>AX66*'3 Saalis'!CO86</f>
        <v>0</v>
      </c>
      <c r="CU66" s="531">
        <f>AY66*'3 Saalis'!CP86</f>
        <v>0</v>
      </c>
      <c r="CV66" s="531">
        <f>AZ66*'3 Saalis'!CQ86</f>
        <v>0</v>
      </c>
      <c r="CW66" s="531">
        <f>BA66*'3 Saalis'!CR86</f>
        <v>0</v>
      </c>
      <c r="CX66" s="531">
        <f>BB66*'3 Saalis'!CS86</f>
        <v>0</v>
      </c>
      <c r="CY66" s="531">
        <f>BC66*'3 Saalis'!CT86</f>
        <v>0</v>
      </c>
      <c r="CZ66" s="531">
        <f>BD66*'3 Saalis'!CU86</f>
        <v>0</v>
      </c>
      <c r="DA66" s="532">
        <f>BE66*'3 Saalis'!CV86</f>
        <v>0</v>
      </c>
      <c r="DC66" s="40" t="s">
        <v>111</v>
      </c>
      <c r="DD66" s="76"/>
      <c r="DE66" s="512">
        <f>SUM(DF66:DQ66)</f>
        <v>0</v>
      </c>
      <c r="DF66" s="521">
        <f>AT66*'3 Saalis'!CK108</f>
        <v>0</v>
      </c>
      <c r="DG66" s="531">
        <f>AU66*'3 Saalis'!CL108</f>
        <v>0</v>
      </c>
      <c r="DH66" s="531">
        <f>AV66*'3 Saalis'!CM108</f>
        <v>0</v>
      </c>
      <c r="DI66" s="531">
        <f>AW66*'3 Saalis'!CN108</f>
        <v>0</v>
      </c>
      <c r="DJ66" s="531">
        <f>AX66*'3 Saalis'!CO108</f>
        <v>0</v>
      </c>
      <c r="DK66" s="531">
        <f>AY66*'3 Saalis'!CP108</f>
        <v>0</v>
      </c>
      <c r="DL66" s="531">
        <f>AZ66*'3 Saalis'!CQ108</f>
        <v>0</v>
      </c>
      <c r="DM66" s="531">
        <f>BA66*'3 Saalis'!CR108</f>
        <v>0</v>
      </c>
      <c r="DN66" s="531">
        <f>BB66*'3 Saalis'!CS108</f>
        <v>0</v>
      </c>
      <c r="DO66" s="531">
        <f>BC66*'3 Saalis'!CT108</f>
        <v>0</v>
      </c>
      <c r="DP66" s="531">
        <f>BD66*'3 Saalis'!CU108</f>
        <v>0</v>
      </c>
      <c r="DQ66" s="532">
        <f>BE66*'3 Saalis'!CV108</f>
        <v>0</v>
      </c>
      <c r="DS66" s="40" t="s">
        <v>111</v>
      </c>
      <c r="DT66" s="76"/>
      <c r="DU66" s="512">
        <f>SUM(DV66:EG66)</f>
        <v>0</v>
      </c>
      <c r="DV66" s="521">
        <f>AT66*'3 Saalis'!CK130</f>
        <v>0</v>
      </c>
      <c r="DW66" s="531">
        <f>AU66*'3 Saalis'!CL130</f>
        <v>0</v>
      </c>
      <c r="DX66" s="531">
        <f>AV66*'3 Saalis'!CM130</f>
        <v>0</v>
      </c>
      <c r="DY66" s="531">
        <f>AW66*'3 Saalis'!CN130</f>
        <v>0</v>
      </c>
      <c r="DZ66" s="531">
        <f>AX66*'3 Saalis'!CO130</f>
        <v>0</v>
      </c>
      <c r="EA66" s="531">
        <f>AY66*'3 Saalis'!CP130</f>
        <v>0</v>
      </c>
      <c r="EB66" s="531">
        <f>AZ66*'3 Saalis'!CQ130</f>
        <v>0</v>
      </c>
      <c r="EC66" s="531">
        <f>BA66*'3 Saalis'!CR130</f>
        <v>0</v>
      </c>
      <c r="ED66" s="531">
        <f>BB66*'3 Saalis'!CS130</f>
        <v>0</v>
      </c>
      <c r="EE66" s="531">
        <f>BC66*'3 Saalis'!CT130</f>
        <v>0</v>
      </c>
      <c r="EF66" s="531">
        <f>BD66*'3 Saalis'!CU130</f>
        <v>0</v>
      </c>
      <c r="EG66" s="532">
        <f>BE66*'3 Saalis'!CV130</f>
        <v>0</v>
      </c>
      <c r="EI66" s="40" t="s">
        <v>111</v>
      </c>
      <c r="EJ66" s="76"/>
      <c r="EK66" s="512">
        <f>SUM(EL66:EW66)</f>
        <v>0</v>
      </c>
      <c r="EL66" s="521">
        <f>AT66*'3 Saalis'!CK152</f>
        <v>0</v>
      </c>
      <c r="EM66" s="531">
        <f>AU66*'3 Saalis'!CL152</f>
        <v>0</v>
      </c>
      <c r="EN66" s="531">
        <f>AV66*'3 Saalis'!CM152</f>
        <v>0</v>
      </c>
      <c r="EO66" s="531">
        <f>AW66*'3 Saalis'!CN152</f>
        <v>0</v>
      </c>
      <c r="EP66" s="531">
        <f>AX66*'3 Saalis'!CO152</f>
        <v>0</v>
      </c>
      <c r="EQ66" s="531">
        <f>AY66*'3 Saalis'!CP152</f>
        <v>0</v>
      </c>
      <c r="ER66" s="531">
        <f>AZ66*'3 Saalis'!CQ152</f>
        <v>0</v>
      </c>
      <c r="ES66" s="531">
        <f>BA66*'3 Saalis'!CR152</f>
        <v>0</v>
      </c>
      <c r="ET66" s="531">
        <f>BB66*'3 Saalis'!CS152</f>
        <v>0</v>
      </c>
      <c r="EU66" s="531">
        <f>BC66*'3 Saalis'!CT152</f>
        <v>0</v>
      </c>
      <c r="EV66" s="531">
        <f>BD66*'3 Saalis'!CU152</f>
        <v>0</v>
      </c>
      <c r="EW66" s="532">
        <f>BE66*'3 Saalis'!CV152</f>
        <v>0</v>
      </c>
    </row>
    <row r="67" spans="9:153" ht="9" customHeight="1" x14ac:dyDescent="0.2">
      <c r="I67" s="15"/>
      <c r="AC67" s="35"/>
      <c r="AS67" s="35"/>
      <c r="BI67" s="35"/>
      <c r="BW67"/>
      <c r="BX67"/>
      <c r="BY67" s="35"/>
      <c r="CM67"/>
      <c r="CN67"/>
      <c r="CO67" s="35"/>
      <c r="DE67" s="35"/>
      <c r="DF67" s="106"/>
      <c r="DG67" s="106"/>
      <c r="DH67" s="106"/>
      <c r="DI67" s="106"/>
      <c r="DJ67" s="106"/>
      <c r="DK67" s="106"/>
      <c r="DL67" s="106"/>
      <c r="DM67" s="106"/>
      <c r="DN67" s="106"/>
      <c r="DO67" s="106"/>
      <c r="DP67" s="106"/>
      <c r="DQ67" s="106"/>
      <c r="DU67" s="35"/>
      <c r="DV67" s="106"/>
      <c r="DW67" s="106"/>
      <c r="DX67" s="106"/>
      <c r="DY67" s="106"/>
      <c r="DZ67" s="106"/>
      <c r="EA67" s="106"/>
      <c r="EB67" s="106"/>
      <c r="EC67" s="106"/>
      <c r="ED67" s="106"/>
      <c r="EE67" s="106"/>
      <c r="EF67" s="106"/>
      <c r="EG67" s="106"/>
      <c r="EK67" s="35"/>
      <c r="EL67" s="106"/>
      <c r="EM67" s="106"/>
      <c r="EN67" s="106"/>
      <c r="EO67" s="106"/>
      <c r="EP67" s="106"/>
      <c r="EQ67" s="106"/>
      <c r="ER67" s="106"/>
      <c r="ES67" s="106"/>
      <c r="ET67" s="106"/>
      <c r="EU67" s="106"/>
      <c r="EV67" s="106"/>
      <c r="EW67" s="106"/>
    </row>
    <row r="68" spans="9:153" ht="9.75" customHeight="1" thickBot="1" x14ac:dyDescent="0.25">
      <c r="I68" s="15"/>
      <c r="AC68" s="35"/>
      <c r="AS68" s="35"/>
      <c r="BI68" s="35"/>
      <c r="BW68"/>
      <c r="BX68"/>
      <c r="BY68" s="35"/>
      <c r="CM68"/>
      <c r="CN68"/>
      <c r="CO68" s="35"/>
      <c r="DE68" s="35"/>
      <c r="DF68" s="106"/>
      <c r="DG68" s="106"/>
      <c r="DH68" s="106"/>
      <c r="DI68" s="106"/>
      <c r="DJ68" s="106"/>
      <c r="DK68" s="106"/>
      <c r="DL68" s="106"/>
      <c r="DM68" s="106"/>
      <c r="DN68" s="106"/>
      <c r="DO68" s="106"/>
      <c r="DP68" s="106"/>
      <c r="DQ68" s="106"/>
      <c r="DU68" s="35"/>
      <c r="DV68" s="106"/>
      <c r="DW68" s="106"/>
      <c r="DX68" s="106"/>
      <c r="DY68" s="106"/>
      <c r="DZ68" s="106"/>
      <c r="EA68" s="106"/>
      <c r="EB68" s="106"/>
      <c r="EC68" s="106"/>
      <c r="ED68" s="106"/>
      <c r="EE68" s="106"/>
      <c r="EF68" s="106"/>
      <c r="EG68" s="106"/>
      <c r="EK68" s="35"/>
      <c r="EL68" s="106"/>
      <c r="EM68" s="106"/>
      <c r="EN68" s="106"/>
      <c r="EO68" s="106"/>
      <c r="EP68" s="106"/>
      <c r="EQ68" s="106"/>
      <c r="ER68" s="106"/>
      <c r="ES68" s="106"/>
      <c r="ET68" s="106"/>
      <c r="EU68" s="106"/>
      <c r="EV68" s="106"/>
      <c r="EW68" s="106"/>
    </row>
    <row r="69" spans="9:153" ht="13.5" thickBot="1" x14ac:dyDescent="0.25">
      <c r="I69" s="15"/>
      <c r="T69" s="1197" t="s">
        <v>1</v>
      </c>
      <c r="AA69" s="112" t="s">
        <v>188</v>
      </c>
      <c r="AB69" s="113"/>
      <c r="AC69" s="1165" t="s">
        <v>40</v>
      </c>
      <c r="AD69" s="137">
        <v>0</v>
      </c>
      <c r="AE69" s="138">
        <v>0</v>
      </c>
      <c r="AF69" s="138">
        <v>0</v>
      </c>
      <c r="AG69" s="138">
        <v>0</v>
      </c>
      <c r="AH69" s="138">
        <v>0</v>
      </c>
      <c r="AI69" s="139" t="s">
        <v>42</v>
      </c>
      <c r="AJ69" s="138"/>
      <c r="AK69" s="138">
        <v>0</v>
      </c>
      <c r="AL69" s="138">
        <v>0</v>
      </c>
      <c r="AM69" s="138">
        <v>0</v>
      </c>
      <c r="AN69" s="138">
        <v>0</v>
      </c>
      <c r="AO69" s="140">
        <v>0</v>
      </c>
      <c r="AQ69" s="112" t="s">
        <v>188</v>
      </c>
      <c r="AR69" s="113"/>
      <c r="AS69" s="1165" t="s">
        <v>40</v>
      </c>
      <c r="AT69" s="137">
        <v>0</v>
      </c>
      <c r="AU69" s="138">
        <v>0</v>
      </c>
      <c r="AV69" s="138">
        <v>0</v>
      </c>
      <c r="AW69" s="138">
        <v>0</v>
      </c>
      <c r="AX69" s="138">
        <v>0</v>
      </c>
      <c r="AY69" s="139" t="s">
        <v>42</v>
      </c>
      <c r="AZ69" s="138"/>
      <c r="BA69" s="138">
        <v>0</v>
      </c>
      <c r="BB69" s="138">
        <v>0</v>
      </c>
      <c r="BC69" s="138">
        <v>0</v>
      </c>
      <c r="BD69" s="138">
        <v>0</v>
      </c>
      <c r="BE69" s="140">
        <v>0</v>
      </c>
      <c r="BG69" s="112" t="s">
        <v>188</v>
      </c>
      <c r="BH69" s="113"/>
      <c r="BI69" s="1165" t="s">
        <v>40</v>
      </c>
      <c r="BJ69" s="137">
        <v>0</v>
      </c>
      <c r="BK69" s="138">
        <v>0</v>
      </c>
      <c r="BL69" s="138">
        <v>0</v>
      </c>
      <c r="BM69" s="138">
        <v>0</v>
      </c>
      <c r="BN69" s="138">
        <v>0</v>
      </c>
      <c r="BO69" s="139" t="s">
        <v>42</v>
      </c>
      <c r="BP69" s="138"/>
      <c r="BQ69" s="138">
        <v>0</v>
      </c>
      <c r="BR69" s="138">
        <v>0</v>
      </c>
      <c r="BS69" s="138">
        <v>0</v>
      </c>
      <c r="BT69" s="138">
        <v>0</v>
      </c>
      <c r="BU69" s="140">
        <v>0</v>
      </c>
      <c r="BW69" s="112" t="s">
        <v>188</v>
      </c>
      <c r="BX69" s="113"/>
      <c r="BY69" s="1165" t="s">
        <v>40</v>
      </c>
      <c r="BZ69" s="137">
        <v>0</v>
      </c>
      <c r="CA69" s="138">
        <v>0</v>
      </c>
      <c r="CB69" s="138">
        <v>0</v>
      </c>
      <c r="CC69" s="138">
        <v>0</v>
      </c>
      <c r="CD69" s="138">
        <v>0</v>
      </c>
      <c r="CE69" s="139" t="s">
        <v>42</v>
      </c>
      <c r="CF69" s="138"/>
      <c r="CG69" s="138">
        <v>0</v>
      </c>
      <c r="CH69" s="138">
        <v>0</v>
      </c>
      <c r="CI69" s="138">
        <v>0</v>
      </c>
      <c r="CJ69" s="138">
        <v>0</v>
      </c>
      <c r="CK69" s="140">
        <v>0</v>
      </c>
      <c r="CM69" s="112" t="s">
        <v>188</v>
      </c>
      <c r="CN69" s="113"/>
      <c r="CO69" s="1165" t="s">
        <v>40</v>
      </c>
      <c r="CP69" s="137">
        <v>0</v>
      </c>
      <c r="CQ69" s="138">
        <v>0</v>
      </c>
      <c r="CR69" s="138">
        <v>0</v>
      </c>
      <c r="CS69" s="138">
        <v>0</v>
      </c>
      <c r="CT69" s="138">
        <v>0</v>
      </c>
      <c r="CU69" s="139" t="s">
        <v>42</v>
      </c>
      <c r="CV69" s="138"/>
      <c r="CW69" s="138">
        <v>0</v>
      </c>
      <c r="CX69" s="138">
        <v>0</v>
      </c>
      <c r="CY69" s="138">
        <v>0</v>
      </c>
      <c r="CZ69" s="138">
        <v>0</v>
      </c>
      <c r="DA69" s="140">
        <v>0</v>
      </c>
      <c r="DC69" s="112" t="s">
        <v>188</v>
      </c>
      <c r="DD69" s="113"/>
      <c r="DE69" s="1165" t="s">
        <v>40</v>
      </c>
      <c r="DF69" s="137">
        <v>0</v>
      </c>
      <c r="DG69" s="138">
        <v>0</v>
      </c>
      <c r="DH69" s="138">
        <v>0</v>
      </c>
      <c r="DI69" s="138">
        <v>0</v>
      </c>
      <c r="DJ69" s="138">
        <v>0</v>
      </c>
      <c r="DK69" s="139" t="s">
        <v>42</v>
      </c>
      <c r="DL69" s="138"/>
      <c r="DM69" s="138">
        <v>0</v>
      </c>
      <c r="DN69" s="138">
        <v>0</v>
      </c>
      <c r="DO69" s="138">
        <v>0</v>
      </c>
      <c r="DP69" s="138">
        <v>0</v>
      </c>
      <c r="DQ69" s="140">
        <v>0</v>
      </c>
      <c r="DS69" s="112" t="s">
        <v>188</v>
      </c>
      <c r="DT69" s="113"/>
      <c r="DU69" s="1165" t="s">
        <v>40</v>
      </c>
      <c r="DV69" s="137">
        <v>0</v>
      </c>
      <c r="DW69" s="138">
        <v>0</v>
      </c>
      <c r="DX69" s="138">
        <v>0</v>
      </c>
      <c r="DY69" s="138">
        <v>0</v>
      </c>
      <c r="DZ69" s="138">
        <v>0</v>
      </c>
      <c r="EA69" s="139" t="s">
        <v>42</v>
      </c>
      <c r="EB69" s="138"/>
      <c r="EC69" s="138">
        <v>0</v>
      </c>
      <c r="ED69" s="138">
        <v>0</v>
      </c>
      <c r="EE69" s="138">
        <v>0</v>
      </c>
      <c r="EF69" s="138">
        <v>0</v>
      </c>
      <c r="EG69" s="140">
        <v>0</v>
      </c>
      <c r="EI69" s="112" t="s">
        <v>188</v>
      </c>
      <c r="EJ69" s="113"/>
      <c r="EK69" s="1165" t="s">
        <v>40</v>
      </c>
      <c r="EL69" s="137">
        <v>0</v>
      </c>
      <c r="EM69" s="138">
        <v>0</v>
      </c>
      <c r="EN69" s="138">
        <v>0</v>
      </c>
      <c r="EO69" s="138">
        <v>0</v>
      </c>
      <c r="EP69" s="138">
        <v>0</v>
      </c>
      <c r="EQ69" s="139" t="s">
        <v>42</v>
      </c>
      <c r="ER69" s="138"/>
      <c r="ES69" s="138">
        <v>0</v>
      </c>
      <c r="ET69" s="138">
        <v>0</v>
      </c>
      <c r="EU69" s="138">
        <v>0</v>
      </c>
      <c r="EV69" s="138">
        <v>0</v>
      </c>
      <c r="EW69" s="140">
        <v>0</v>
      </c>
    </row>
    <row r="70" spans="9:153" ht="13.5" thickBot="1" x14ac:dyDescent="0.25">
      <c r="I70" s="15"/>
      <c r="AA70" s="148"/>
      <c r="AB70" s="149"/>
      <c r="AC70" s="1166" t="s">
        <v>41</v>
      </c>
      <c r="AD70" s="142">
        <v>1</v>
      </c>
      <c r="AE70" s="143">
        <v>2</v>
      </c>
      <c r="AF70" s="143">
        <v>3</v>
      </c>
      <c r="AG70" s="143">
        <v>4</v>
      </c>
      <c r="AH70" s="143">
        <v>5</v>
      </c>
      <c r="AI70" s="143">
        <v>6</v>
      </c>
      <c r="AJ70" s="143">
        <v>7</v>
      </c>
      <c r="AK70" s="143">
        <v>8</v>
      </c>
      <c r="AL70" s="143">
        <v>9</v>
      </c>
      <c r="AM70" s="143">
        <v>10</v>
      </c>
      <c r="AN70" s="143">
        <v>11</v>
      </c>
      <c r="AO70" s="144">
        <v>12</v>
      </c>
      <c r="AQ70" s="148"/>
      <c r="AR70" s="149"/>
      <c r="AS70" s="1166" t="s">
        <v>41</v>
      </c>
      <c r="AT70" s="142">
        <v>1</v>
      </c>
      <c r="AU70" s="143">
        <v>2</v>
      </c>
      <c r="AV70" s="143">
        <v>3</v>
      </c>
      <c r="AW70" s="143">
        <v>4</v>
      </c>
      <c r="AX70" s="143">
        <v>5</v>
      </c>
      <c r="AY70" s="143">
        <v>6</v>
      </c>
      <c r="AZ70" s="143">
        <v>7</v>
      </c>
      <c r="BA70" s="143">
        <v>8</v>
      </c>
      <c r="BB70" s="143">
        <v>9</v>
      </c>
      <c r="BC70" s="143">
        <v>10</v>
      </c>
      <c r="BD70" s="143">
        <v>11</v>
      </c>
      <c r="BE70" s="144">
        <v>12</v>
      </c>
      <c r="BG70" s="148"/>
      <c r="BH70" s="149"/>
      <c r="BI70" s="1166" t="s">
        <v>41</v>
      </c>
      <c r="BJ70" s="142">
        <v>1</v>
      </c>
      <c r="BK70" s="143">
        <v>2</v>
      </c>
      <c r="BL70" s="143">
        <v>3</v>
      </c>
      <c r="BM70" s="143">
        <v>4</v>
      </c>
      <c r="BN70" s="143">
        <v>5</v>
      </c>
      <c r="BO70" s="143">
        <v>6</v>
      </c>
      <c r="BP70" s="143">
        <v>7</v>
      </c>
      <c r="BQ70" s="143">
        <v>8</v>
      </c>
      <c r="BR70" s="143">
        <v>9</v>
      </c>
      <c r="BS70" s="143">
        <v>10</v>
      </c>
      <c r="BT70" s="143">
        <v>11</v>
      </c>
      <c r="BU70" s="144">
        <v>12</v>
      </c>
      <c r="BW70" s="148"/>
      <c r="BX70" s="149"/>
      <c r="BY70" s="1166" t="s">
        <v>41</v>
      </c>
      <c r="BZ70" s="142">
        <v>1</v>
      </c>
      <c r="CA70" s="143">
        <v>2</v>
      </c>
      <c r="CB70" s="143">
        <v>3</v>
      </c>
      <c r="CC70" s="143">
        <v>4</v>
      </c>
      <c r="CD70" s="143">
        <v>5</v>
      </c>
      <c r="CE70" s="143">
        <v>6</v>
      </c>
      <c r="CF70" s="143">
        <v>7</v>
      </c>
      <c r="CG70" s="143">
        <v>8</v>
      </c>
      <c r="CH70" s="143">
        <v>9</v>
      </c>
      <c r="CI70" s="143">
        <v>10</v>
      </c>
      <c r="CJ70" s="143">
        <v>11</v>
      </c>
      <c r="CK70" s="144">
        <v>12</v>
      </c>
      <c r="CM70" s="148"/>
      <c r="CN70" s="149"/>
      <c r="CO70" s="1166" t="s">
        <v>41</v>
      </c>
      <c r="CP70" s="142">
        <v>1</v>
      </c>
      <c r="CQ70" s="143">
        <v>2</v>
      </c>
      <c r="CR70" s="143">
        <v>3</v>
      </c>
      <c r="CS70" s="143">
        <v>4</v>
      </c>
      <c r="CT70" s="143">
        <v>5</v>
      </c>
      <c r="CU70" s="143">
        <v>6</v>
      </c>
      <c r="CV70" s="143">
        <v>7</v>
      </c>
      <c r="CW70" s="143">
        <v>8</v>
      </c>
      <c r="CX70" s="143">
        <v>9</v>
      </c>
      <c r="CY70" s="143">
        <v>10</v>
      </c>
      <c r="CZ70" s="143">
        <v>11</v>
      </c>
      <c r="DA70" s="144">
        <v>12</v>
      </c>
      <c r="DC70" s="148"/>
      <c r="DD70" s="149"/>
      <c r="DE70" s="1166" t="s">
        <v>41</v>
      </c>
      <c r="DF70" s="142">
        <v>1</v>
      </c>
      <c r="DG70" s="143">
        <v>2</v>
      </c>
      <c r="DH70" s="143">
        <v>3</v>
      </c>
      <c r="DI70" s="143">
        <v>4</v>
      </c>
      <c r="DJ70" s="143">
        <v>5</v>
      </c>
      <c r="DK70" s="143">
        <v>6</v>
      </c>
      <c r="DL70" s="143">
        <v>7</v>
      </c>
      <c r="DM70" s="143">
        <v>8</v>
      </c>
      <c r="DN70" s="143">
        <v>9</v>
      </c>
      <c r="DO70" s="143">
        <v>10</v>
      </c>
      <c r="DP70" s="143">
        <v>11</v>
      </c>
      <c r="DQ70" s="144">
        <v>12</v>
      </c>
      <c r="DS70" s="148"/>
      <c r="DT70" s="149"/>
      <c r="DU70" s="1166" t="s">
        <v>41</v>
      </c>
      <c r="DV70" s="142">
        <v>1</v>
      </c>
      <c r="DW70" s="143">
        <v>2</v>
      </c>
      <c r="DX70" s="143">
        <v>3</v>
      </c>
      <c r="DY70" s="143">
        <v>4</v>
      </c>
      <c r="DZ70" s="143">
        <v>5</v>
      </c>
      <c r="EA70" s="143">
        <v>6</v>
      </c>
      <c r="EB70" s="143">
        <v>7</v>
      </c>
      <c r="EC70" s="143">
        <v>8</v>
      </c>
      <c r="ED70" s="143">
        <v>9</v>
      </c>
      <c r="EE70" s="143">
        <v>10</v>
      </c>
      <c r="EF70" s="143">
        <v>11</v>
      </c>
      <c r="EG70" s="144">
        <v>12</v>
      </c>
      <c r="EI70" s="148"/>
      <c r="EJ70" s="149"/>
      <c r="EK70" s="1166" t="s">
        <v>41</v>
      </c>
      <c r="EL70" s="142">
        <v>1</v>
      </c>
      <c r="EM70" s="143">
        <v>2</v>
      </c>
      <c r="EN70" s="143">
        <v>3</v>
      </c>
      <c r="EO70" s="143">
        <v>4</v>
      </c>
      <c r="EP70" s="143">
        <v>5</v>
      </c>
      <c r="EQ70" s="143">
        <v>6</v>
      </c>
      <c r="ER70" s="143">
        <v>7</v>
      </c>
      <c r="ES70" s="143">
        <v>8</v>
      </c>
      <c r="ET70" s="143">
        <v>9</v>
      </c>
      <c r="EU70" s="143">
        <v>10</v>
      </c>
      <c r="EV70" s="143">
        <v>11</v>
      </c>
      <c r="EW70" s="144">
        <v>12</v>
      </c>
    </row>
    <row r="71" spans="9:153" x14ac:dyDescent="0.2">
      <c r="I71" s="15"/>
      <c r="AA71" s="112" t="s">
        <v>110</v>
      </c>
      <c r="AB71" s="152"/>
      <c r="AC71" s="1393">
        <f t="shared" ref="AC71:AO71" si="38">AC16+AC21+AC38+AC43+AC26+AC27+AC28+AC29+AC50+AC55+AC60+AC65</f>
        <v>0</v>
      </c>
      <c r="AD71" s="433">
        <f>AD16+AD21+AD38+AD43+AD26+AD27+AD28+AD29+AD50+AD55+AD60+AD65</f>
        <v>0</v>
      </c>
      <c r="AE71" s="434">
        <f t="shared" si="38"/>
        <v>0</v>
      </c>
      <c r="AF71" s="434">
        <f t="shared" si="38"/>
        <v>0</v>
      </c>
      <c r="AG71" s="434">
        <f t="shared" si="38"/>
        <v>0</v>
      </c>
      <c r="AH71" s="434">
        <f t="shared" si="38"/>
        <v>0</v>
      </c>
      <c r="AI71" s="434">
        <f t="shared" si="38"/>
        <v>0</v>
      </c>
      <c r="AJ71" s="434">
        <f t="shared" si="38"/>
        <v>0</v>
      </c>
      <c r="AK71" s="434">
        <f t="shared" si="38"/>
        <v>0</v>
      </c>
      <c r="AL71" s="434">
        <f t="shared" si="38"/>
        <v>0</v>
      </c>
      <c r="AM71" s="434">
        <f t="shared" si="38"/>
        <v>0</v>
      </c>
      <c r="AN71" s="434">
        <f t="shared" si="38"/>
        <v>0</v>
      </c>
      <c r="AO71" s="435">
        <f t="shared" si="38"/>
        <v>0</v>
      </c>
      <c r="AQ71" s="112" t="s">
        <v>110</v>
      </c>
      <c r="AR71" s="152"/>
      <c r="AS71" s="1393">
        <f t="shared" ref="AS71:BE71" si="39">AS16+AS21+AS38+AS43+AS26+AS27+AS28+AS29+AS50+AS55+AS60+AS65</f>
        <v>0</v>
      </c>
      <c r="AT71" s="433">
        <f t="shared" si="39"/>
        <v>0</v>
      </c>
      <c r="AU71" s="434">
        <f>AU16+AU21+AU38+AU43+AU26+AU27+AU28+AU29+AU50+AU55+AU60+AU65</f>
        <v>0</v>
      </c>
      <c r="AV71" s="434">
        <f t="shared" si="39"/>
        <v>0</v>
      </c>
      <c r="AW71" s="434">
        <f t="shared" si="39"/>
        <v>0</v>
      </c>
      <c r="AX71" s="434">
        <f t="shared" si="39"/>
        <v>0</v>
      </c>
      <c r="AY71" s="434">
        <f t="shared" si="39"/>
        <v>0</v>
      </c>
      <c r="AZ71" s="434">
        <f t="shared" si="39"/>
        <v>0</v>
      </c>
      <c r="BA71" s="434">
        <f t="shared" si="39"/>
        <v>0</v>
      </c>
      <c r="BB71" s="434">
        <f t="shared" si="39"/>
        <v>0</v>
      </c>
      <c r="BC71" s="434">
        <f t="shared" si="39"/>
        <v>0</v>
      </c>
      <c r="BD71" s="434">
        <f t="shared" si="39"/>
        <v>0</v>
      </c>
      <c r="BE71" s="435">
        <f t="shared" si="39"/>
        <v>0</v>
      </c>
      <c r="BG71" s="112" t="s">
        <v>110</v>
      </c>
      <c r="BH71" s="152"/>
      <c r="BI71" s="1393">
        <f t="shared" ref="BI71:BU71" si="40">BI16+BI21+BI38+BI43+BI26+BI27+BI28+BI29+BI50+BI55+BI60+BI65</f>
        <v>0</v>
      </c>
      <c r="BJ71" s="433">
        <f t="shared" si="40"/>
        <v>0</v>
      </c>
      <c r="BK71" s="434">
        <f t="shared" si="40"/>
        <v>0</v>
      </c>
      <c r="BL71" s="434">
        <f t="shared" si="40"/>
        <v>0</v>
      </c>
      <c r="BM71" s="434">
        <f t="shared" si="40"/>
        <v>0</v>
      </c>
      <c r="BN71" s="434">
        <f t="shared" si="40"/>
        <v>0</v>
      </c>
      <c r="BO71" s="434">
        <f t="shared" si="40"/>
        <v>0</v>
      </c>
      <c r="BP71" s="434">
        <f t="shared" si="40"/>
        <v>0</v>
      </c>
      <c r="BQ71" s="434">
        <f t="shared" si="40"/>
        <v>0</v>
      </c>
      <c r="BR71" s="434">
        <f t="shared" si="40"/>
        <v>0</v>
      </c>
      <c r="BS71" s="434">
        <f t="shared" si="40"/>
        <v>0</v>
      </c>
      <c r="BT71" s="434">
        <f t="shared" si="40"/>
        <v>0</v>
      </c>
      <c r="BU71" s="435">
        <f t="shared" si="40"/>
        <v>0</v>
      </c>
      <c r="BW71" s="112" t="s">
        <v>110</v>
      </c>
      <c r="BX71" s="152"/>
      <c r="BY71" s="1393">
        <f t="shared" ref="BY71:CK71" si="41">BY16+BY21+BY38+BY43+BY26+BY27+BY28+BY29+BY50+BY55+BY60+BY65</f>
        <v>0</v>
      </c>
      <c r="BZ71" s="433">
        <f t="shared" si="41"/>
        <v>0</v>
      </c>
      <c r="CA71" s="434">
        <f t="shared" si="41"/>
        <v>0</v>
      </c>
      <c r="CB71" s="434">
        <f t="shared" si="41"/>
        <v>0</v>
      </c>
      <c r="CC71" s="434">
        <f t="shared" si="41"/>
        <v>0</v>
      </c>
      <c r="CD71" s="434">
        <f t="shared" si="41"/>
        <v>0</v>
      </c>
      <c r="CE71" s="434">
        <f t="shared" si="41"/>
        <v>0</v>
      </c>
      <c r="CF71" s="434">
        <f t="shared" si="41"/>
        <v>0</v>
      </c>
      <c r="CG71" s="434">
        <f t="shared" si="41"/>
        <v>0</v>
      </c>
      <c r="CH71" s="434">
        <f t="shared" si="41"/>
        <v>0</v>
      </c>
      <c r="CI71" s="434">
        <f t="shared" si="41"/>
        <v>0</v>
      </c>
      <c r="CJ71" s="434">
        <f t="shared" si="41"/>
        <v>0</v>
      </c>
      <c r="CK71" s="435">
        <f t="shared" si="41"/>
        <v>0</v>
      </c>
      <c r="CM71" s="112" t="s">
        <v>110</v>
      </c>
      <c r="CN71" s="152"/>
      <c r="CO71" s="1393">
        <f t="shared" ref="CO71:DA71" si="42">CO16+CO21+CO38+CO43+CO26+CO27+CO28+CO29+CO50+CO55+CO60+CO65</f>
        <v>0</v>
      </c>
      <c r="CP71" s="433">
        <f>CP16+CP21+CP38+CP43+CP26+CP27+CP28+CP29+CP50+CP55+CP60+CP65</f>
        <v>0</v>
      </c>
      <c r="CQ71" s="434">
        <f t="shared" si="42"/>
        <v>0</v>
      </c>
      <c r="CR71" s="434">
        <f t="shared" si="42"/>
        <v>0</v>
      </c>
      <c r="CS71" s="434">
        <f t="shared" si="42"/>
        <v>0</v>
      </c>
      <c r="CT71" s="434">
        <f t="shared" si="42"/>
        <v>0</v>
      </c>
      <c r="CU71" s="434">
        <f t="shared" si="42"/>
        <v>0</v>
      </c>
      <c r="CV71" s="434">
        <f t="shared" si="42"/>
        <v>0</v>
      </c>
      <c r="CW71" s="434">
        <f t="shared" si="42"/>
        <v>0</v>
      </c>
      <c r="CX71" s="434">
        <f t="shared" si="42"/>
        <v>0</v>
      </c>
      <c r="CY71" s="434">
        <f t="shared" si="42"/>
        <v>0</v>
      </c>
      <c r="CZ71" s="434">
        <f t="shared" si="42"/>
        <v>0</v>
      </c>
      <c r="DA71" s="435">
        <f t="shared" si="42"/>
        <v>0</v>
      </c>
      <c r="DC71" s="112" t="s">
        <v>110</v>
      </c>
      <c r="DD71" s="152"/>
      <c r="DE71" s="1393">
        <f t="shared" ref="DE71:DQ71" si="43">DE16+DE21+DE38+DE43+DE26+DE27+DE28+DE29+DE50+DE55+DE60+DE65</f>
        <v>0</v>
      </c>
      <c r="DF71" s="433">
        <f t="shared" si="43"/>
        <v>0</v>
      </c>
      <c r="DG71" s="434">
        <f t="shared" si="43"/>
        <v>0</v>
      </c>
      <c r="DH71" s="434">
        <f t="shared" si="43"/>
        <v>0</v>
      </c>
      <c r="DI71" s="434">
        <f t="shared" si="43"/>
        <v>0</v>
      </c>
      <c r="DJ71" s="434">
        <f t="shared" si="43"/>
        <v>0</v>
      </c>
      <c r="DK71" s="434">
        <f t="shared" si="43"/>
        <v>0</v>
      </c>
      <c r="DL71" s="434">
        <f t="shared" si="43"/>
        <v>0</v>
      </c>
      <c r="DM71" s="434">
        <f t="shared" si="43"/>
        <v>0</v>
      </c>
      <c r="DN71" s="434">
        <f t="shared" si="43"/>
        <v>0</v>
      </c>
      <c r="DO71" s="434">
        <f t="shared" si="43"/>
        <v>0</v>
      </c>
      <c r="DP71" s="434">
        <f t="shared" si="43"/>
        <v>0</v>
      </c>
      <c r="DQ71" s="435">
        <f t="shared" si="43"/>
        <v>0</v>
      </c>
      <c r="DS71" s="112" t="s">
        <v>110</v>
      </c>
      <c r="DT71" s="152"/>
      <c r="DU71" s="1393">
        <f t="shared" ref="DU71:EG71" si="44">DU16+DU21+DU38+DU43+DU26+DU27+DU28+DU29+DU50+DU55+DU60+DU65</f>
        <v>0</v>
      </c>
      <c r="DV71" s="433">
        <f t="shared" si="44"/>
        <v>0</v>
      </c>
      <c r="DW71" s="434">
        <f t="shared" si="44"/>
        <v>0</v>
      </c>
      <c r="DX71" s="434">
        <f t="shared" si="44"/>
        <v>0</v>
      </c>
      <c r="DY71" s="434">
        <f t="shared" si="44"/>
        <v>0</v>
      </c>
      <c r="DZ71" s="434">
        <f t="shared" si="44"/>
        <v>0</v>
      </c>
      <c r="EA71" s="434">
        <f t="shared" si="44"/>
        <v>0</v>
      </c>
      <c r="EB71" s="434">
        <f t="shared" si="44"/>
        <v>0</v>
      </c>
      <c r="EC71" s="434">
        <f t="shared" si="44"/>
        <v>0</v>
      </c>
      <c r="ED71" s="434">
        <f t="shared" si="44"/>
        <v>0</v>
      </c>
      <c r="EE71" s="434">
        <f t="shared" si="44"/>
        <v>0</v>
      </c>
      <c r="EF71" s="434">
        <f t="shared" si="44"/>
        <v>0</v>
      </c>
      <c r="EG71" s="435">
        <f t="shared" si="44"/>
        <v>0</v>
      </c>
      <c r="EI71" s="112" t="s">
        <v>110</v>
      </c>
      <c r="EJ71" s="152"/>
      <c r="EK71" s="1393">
        <f t="shared" ref="EK71:EV71" si="45">EK16+EK21+EK38+EK43+EK26+EK27+EK28+EK29+EK50+EK55+EK60+EK65</f>
        <v>0</v>
      </c>
      <c r="EL71" s="433">
        <f t="shared" si="45"/>
        <v>0</v>
      </c>
      <c r="EM71" s="434">
        <f t="shared" si="45"/>
        <v>0</v>
      </c>
      <c r="EN71" s="434">
        <f t="shared" si="45"/>
        <v>0</v>
      </c>
      <c r="EO71" s="434">
        <f t="shared" si="45"/>
        <v>0</v>
      </c>
      <c r="EP71" s="434">
        <f t="shared" si="45"/>
        <v>0</v>
      </c>
      <c r="EQ71" s="434">
        <f t="shared" si="45"/>
        <v>0</v>
      </c>
      <c r="ER71" s="434">
        <f t="shared" si="45"/>
        <v>0</v>
      </c>
      <c r="ES71" s="434">
        <f t="shared" si="45"/>
        <v>0</v>
      </c>
      <c r="ET71" s="434">
        <f t="shared" si="45"/>
        <v>0</v>
      </c>
      <c r="EU71" s="434">
        <f t="shared" si="45"/>
        <v>0</v>
      </c>
      <c r="EV71" s="434">
        <f t="shared" si="45"/>
        <v>0</v>
      </c>
      <c r="EW71" s="435">
        <f>EW16+EW21+EW38+EW43+EW26+EW27+EW28+EW29+EW50+EW55+EW60+EW65</f>
        <v>0</v>
      </c>
    </row>
    <row r="72" spans="9:153" x14ac:dyDescent="0.2">
      <c r="I72" s="15"/>
      <c r="AA72" s="148" t="s">
        <v>114</v>
      </c>
      <c r="AB72" s="154"/>
      <c r="AC72" s="1394">
        <f t="shared" ref="AC72:AO72" si="46">AC44</f>
        <v>0</v>
      </c>
      <c r="AD72" s="437">
        <f t="shared" si="46"/>
        <v>0</v>
      </c>
      <c r="AE72" s="438">
        <f t="shared" si="46"/>
        <v>0</v>
      </c>
      <c r="AF72" s="438">
        <f t="shared" si="46"/>
        <v>0</v>
      </c>
      <c r="AG72" s="438">
        <f t="shared" si="46"/>
        <v>0</v>
      </c>
      <c r="AH72" s="438">
        <f t="shared" si="46"/>
        <v>0</v>
      </c>
      <c r="AI72" s="438">
        <f t="shared" si="46"/>
        <v>0</v>
      </c>
      <c r="AJ72" s="438">
        <f t="shared" si="46"/>
        <v>0</v>
      </c>
      <c r="AK72" s="438">
        <f t="shared" si="46"/>
        <v>0</v>
      </c>
      <c r="AL72" s="438">
        <f t="shared" si="46"/>
        <v>0</v>
      </c>
      <c r="AM72" s="438">
        <f t="shared" si="46"/>
        <v>0</v>
      </c>
      <c r="AN72" s="438">
        <f t="shared" si="46"/>
        <v>0</v>
      </c>
      <c r="AO72" s="439">
        <f t="shared" si="46"/>
        <v>0</v>
      </c>
      <c r="AQ72" s="148" t="s">
        <v>114</v>
      </c>
      <c r="AR72" s="154"/>
      <c r="AS72" s="1394">
        <f t="shared" ref="AS72:BE72" si="47">AS44</f>
        <v>0</v>
      </c>
      <c r="AT72" s="437">
        <f t="shared" si="47"/>
        <v>0</v>
      </c>
      <c r="AU72" s="438">
        <f t="shared" si="47"/>
        <v>0</v>
      </c>
      <c r="AV72" s="438">
        <f t="shared" si="47"/>
        <v>0</v>
      </c>
      <c r="AW72" s="438">
        <f t="shared" si="47"/>
        <v>0</v>
      </c>
      <c r="AX72" s="438">
        <f t="shared" si="47"/>
        <v>0</v>
      </c>
      <c r="AY72" s="438">
        <f t="shared" si="47"/>
        <v>0</v>
      </c>
      <c r="AZ72" s="438">
        <f t="shared" si="47"/>
        <v>0</v>
      </c>
      <c r="BA72" s="438">
        <f t="shared" si="47"/>
        <v>0</v>
      </c>
      <c r="BB72" s="438">
        <f t="shared" si="47"/>
        <v>0</v>
      </c>
      <c r="BC72" s="438">
        <f t="shared" si="47"/>
        <v>0</v>
      </c>
      <c r="BD72" s="438">
        <f t="shared" si="47"/>
        <v>0</v>
      </c>
      <c r="BE72" s="439">
        <f t="shared" si="47"/>
        <v>0</v>
      </c>
      <c r="BG72" s="148" t="s">
        <v>114</v>
      </c>
      <c r="BH72" s="154"/>
      <c r="BI72" s="1394">
        <f t="shared" ref="BI72:BU72" si="48">BI44</f>
        <v>0</v>
      </c>
      <c r="BJ72" s="437">
        <f t="shared" si="48"/>
        <v>0</v>
      </c>
      <c r="BK72" s="438">
        <f t="shared" si="48"/>
        <v>0</v>
      </c>
      <c r="BL72" s="438">
        <f t="shared" si="48"/>
        <v>0</v>
      </c>
      <c r="BM72" s="438">
        <f t="shared" si="48"/>
        <v>0</v>
      </c>
      <c r="BN72" s="438">
        <f t="shared" si="48"/>
        <v>0</v>
      </c>
      <c r="BO72" s="438">
        <f t="shared" si="48"/>
        <v>0</v>
      </c>
      <c r="BP72" s="438">
        <f t="shared" si="48"/>
        <v>0</v>
      </c>
      <c r="BQ72" s="438">
        <f t="shared" si="48"/>
        <v>0</v>
      </c>
      <c r="BR72" s="438">
        <f t="shared" si="48"/>
        <v>0</v>
      </c>
      <c r="BS72" s="438">
        <f t="shared" si="48"/>
        <v>0</v>
      </c>
      <c r="BT72" s="438">
        <f t="shared" si="48"/>
        <v>0</v>
      </c>
      <c r="BU72" s="439">
        <f t="shared" si="48"/>
        <v>0</v>
      </c>
      <c r="BW72" s="148" t="s">
        <v>114</v>
      </c>
      <c r="BX72" s="154"/>
      <c r="BY72" s="1394">
        <f t="shared" ref="BY72:CK72" si="49">BY44</f>
        <v>0</v>
      </c>
      <c r="BZ72" s="437">
        <f t="shared" si="49"/>
        <v>0</v>
      </c>
      <c r="CA72" s="438">
        <f t="shared" si="49"/>
        <v>0</v>
      </c>
      <c r="CB72" s="438">
        <f t="shared" si="49"/>
        <v>0</v>
      </c>
      <c r="CC72" s="438">
        <f t="shared" si="49"/>
        <v>0</v>
      </c>
      <c r="CD72" s="438">
        <f t="shared" si="49"/>
        <v>0</v>
      </c>
      <c r="CE72" s="438">
        <f t="shared" si="49"/>
        <v>0</v>
      </c>
      <c r="CF72" s="438">
        <f t="shared" si="49"/>
        <v>0</v>
      </c>
      <c r="CG72" s="438">
        <f t="shared" si="49"/>
        <v>0</v>
      </c>
      <c r="CH72" s="438">
        <f t="shared" si="49"/>
        <v>0</v>
      </c>
      <c r="CI72" s="438">
        <f t="shared" si="49"/>
        <v>0</v>
      </c>
      <c r="CJ72" s="438">
        <f t="shared" si="49"/>
        <v>0</v>
      </c>
      <c r="CK72" s="439">
        <f t="shared" si="49"/>
        <v>0</v>
      </c>
      <c r="CM72" s="148" t="s">
        <v>114</v>
      </c>
      <c r="CN72" s="154"/>
      <c r="CO72" s="1394">
        <f t="shared" ref="CO72:DA72" si="50">CO44</f>
        <v>0</v>
      </c>
      <c r="CP72" s="437">
        <f t="shared" si="50"/>
        <v>0</v>
      </c>
      <c r="CQ72" s="438">
        <f t="shared" si="50"/>
        <v>0</v>
      </c>
      <c r="CR72" s="438">
        <f t="shared" si="50"/>
        <v>0</v>
      </c>
      <c r="CS72" s="438">
        <f t="shared" si="50"/>
        <v>0</v>
      </c>
      <c r="CT72" s="438">
        <f t="shared" si="50"/>
        <v>0</v>
      </c>
      <c r="CU72" s="438">
        <f t="shared" si="50"/>
        <v>0</v>
      </c>
      <c r="CV72" s="438">
        <f t="shared" si="50"/>
        <v>0</v>
      </c>
      <c r="CW72" s="438">
        <f t="shared" si="50"/>
        <v>0</v>
      </c>
      <c r="CX72" s="438">
        <f t="shared" si="50"/>
        <v>0</v>
      </c>
      <c r="CY72" s="438">
        <f t="shared" si="50"/>
        <v>0</v>
      </c>
      <c r="CZ72" s="438">
        <f t="shared" si="50"/>
        <v>0</v>
      </c>
      <c r="DA72" s="439">
        <f t="shared" si="50"/>
        <v>0</v>
      </c>
      <c r="DC72" s="148" t="s">
        <v>114</v>
      </c>
      <c r="DD72" s="154"/>
      <c r="DE72" s="1394">
        <f t="shared" ref="DE72:DQ72" si="51">DE44</f>
        <v>0</v>
      </c>
      <c r="DF72" s="437">
        <f t="shared" si="51"/>
        <v>0</v>
      </c>
      <c r="DG72" s="438">
        <f t="shared" si="51"/>
        <v>0</v>
      </c>
      <c r="DH72" s="438">
        <f t="shared" si="51"/>
        <v>0</v>
      </c>
      <c r="DI72" s="438">
        <f t="shared" si="51"/>
        <v>0</v>
      </c>
      <c r="DJ72" s="438">
        <f t="shared" si="51"/>
        <v>0</v>
      </c>
      <c r="DK72" s="438">
        <f t="shared" si="51"/>
        <v>0</v>
      </c>
      <c r="DL72" s="438">
        <f t="shared" si="51"/>
        <v>0</v>
      </c>
      <c r="DM72" s="438">
        <f t="shared" si="51"/>
        <v>0</v>
      </c>
      <c r="DN72" s="438">
        <f t="shared" si="51"/>
        <v>0</v>
      </c>
      <c r="DO72" s="438">
        <f t="shared" si="51"/>
        <v>0</v>
      </c>
      <c r="DP72" s="438">
        <f t="shared" si="51"/>
        <v>0</v>
      </c>
      <c r="DQ72" s="439">
        <f t="shared" si="51"/>
        <v>0</v>
      </c>
      <c r="DS72" s="148" t="s">
        <v>114</v>
      </c>
      <c r="DT72" s="154"/>
      <c r="DU72" s="1394">
        <f t="shared" ref="DU72:EG72" si="52">DU44</f>
        <v>0</v>
      </c>
      <c r="DV72" s="437">
        <f t="shared" si="52"/>
        <v>0</v>
      </c>
      <c r="DW72" s="438">
        <f t="shared" si="52"/>
        <v>0</v>
      </c>
      <c r="DX72" s="438">
        <f t="shared" si="52"/>
        <v>0</v>
      </c>
      <c r="DY72" s="438">
        <f t="shared" si="52"/>
        <v>0</v>
      </c>
      <c r="DZ72" s="438">
        <f>DZ44</f>
        <v>0</v>
      </c>
      <c r="EA72" s="438">
        <f t="shared" si="52"/>
        <v>0</v>
      </c>
      <c r="EB72" s="438">
        <f t="shared" si="52"/>
        <v>0</v>
      </c>
      <c r="EC72" s="438">
        <f t="shared" si="52"/>
        <v>0</v>
      </c>
      <c r="ED72" s="438">
        <f t="shared" si="52"/>
        <v>0</v>
      </c>
      <c r="EE72" s="438">
        <f t="shared" si="52"/>
        <v>0</v>
      </c>
      <c r="EF72" s="438">
        <f t="shared" si="52"/>
        <v>0</v>
      </c>
      <c r="EG72" s="439">
        <f t="shared" si="52"/>
        <v>0</v>
      </c>
      <c r="EI72" s="148" t="s">
        <v>114</v>
      </c>
      <c r="EJ72" s="154"/>
      <c r="EK72" s="1394">
        <f t="shared" ref="EK72:EW72" si="53">EK44</f>
        <v>0</v>
      </c>
      <c r="EL72" s="437">
        <f t="shared" si="53"/>
        <v>0</v>
      </c>
      <c r="EM72" s="438">
        <f t="shared" si="53"/>
        <v>0</v>
      </c>
      <c r="EN72" s="438">
        <f t="shared" si="53"/>
        <v>0</v>
      </c>
      <c r="EO72" s="438">
        <f t="shared" si="53"/>
        <v>0</v>
      </c>
      <c r="EP72" s="438">
        <f t="shared" si="53"/>
        <v>0</v>
      </c>
      <c r="EQ72" s="438">
        <f t="shared" si="53"/>
        <v>0</v>
      </c>
      <c r="ER72" s="438">
        <f t="shared" si="53"/>
        <v>0</v>
      </c>
      <c r="ES72" s="438">
        <f t="shared" si="53"/>
        <v>0</v>
      </c>
      <c r="ET72" s="438">
        <f t="shared" si="53"/>
        <v>0</v>
      </c>
      <c r="EU72" s="438">
        <f t="shared" si="53"/>
        <v>0</v>
      </c>
      <c r="EV72" s="438">
        <f t="shared" si="53"/>
        <v>0</v>
      </c>
      <c r="EW72" s="439">
        <f t="shared" si="53"/>
        <v>0</v>
      </c>
    </row>
    <row r="73" spans="9:153" x14ac:dyDescent="0.2">
      <c r="I73" s="15"/>
      <c r="AA73" s="148" t="s">
        <v>111</v>
      </c>
      <c r="AB73" s="154"/>
      <c r="AC73" s="1394">
        <f t="shared" ref="AC73:AO73" si="54">AC17+AC22+AC39+AC45+AC30+AC31+AC32+AC33+AC51+AC56+AC61+AC66</f>
        <v>0</v>
      </c>
      <c r="AD73" s="437">
        <f t="shared" si="54"/>
        <v>0</v>
      </c>
      <c r="AE73" s="438">
        <f t="shared" si="54"/>
        <v>0</v>
      </c>
      <c r="AF73" s="438">
        <f t="shared" si="54"/>
        <v>0</v>
      </c>
      <c r="AG73" s="438">
        <f t="shared" si="54"/>
        <v>0</v>
      </c>
      <c r="AH73" s="438">
        <f t="shared" si="54"/>
        <v>0</v>
      </c>
      <c r="AI73" s="438">
        <f t="shared" si="54"/>
        <v>0</v>
      </c>
      <c r="AJ73" s="438">
        <f t="shared" si="54"/>
        <v>0</v>
      </c>
      <c r="AK73" s="438">
        <f t="shared" si="54"/>
        <v>0</v>
      </c>
      <c r="AL73" s="438">
        <f t="shared" si="54"/>
        <v>0</v>
      </c>
      <c r="AM73" s="438">
        <f t="shared" si="54"/>
        <v>0</v>
      </c>
      <c r="AN73" s="438">
        <f t="shared" si="54"/>
        <v>0</v>
      </c>
      <c r="AO73" s="439">
        <f t="shared" si="54"/>
        <v>0</v>
      </c>
      <c r="AQ73" s="148" t="s">
        <v>111</v>
      </c>
      <c r="AR73" s="154"/>
      <c r="AS73" s="1394">
        <f t="shared" ref="AS73:BE73" si="55">AS17+AS22+AS39+AS45+AS30+AS31+AS32+AS33+AS51+AS56+AS61+AS66</f>
        <v>0</v>
      </c>
      <c r="AT73" s="437">
        <f t="shared" si="55"/>
        <v>0</v>
      </c>
      <c r="AU73" s="438">
        <f t="shared" si="55"/>
        <v>0</v>
      </c>
      <c r="AV73" s="438">
        <f>AV17+AV22+AV39+AV45+AV30+AV31+AV32+AV33+AV51+AV56+AV61+AV66</f>
        <v>0</v>
      </c>
      <c r="AW73" s="438">
        <f t="shared" si="55"/>
        <v>0</v>
      </c>
      <c r="AX73" s="438">
        <f t="shared" si="55"/>
        <v>0</v>
      </c>
      <c r="AY73" s="438">
        <f t="shared" si="55"/>
        <v>0</v>
      </c>
      <c r="AZ73" s="438">
        <f t="shared" si="55"/>
        <v>0</v>
      </c>
      <c r="BA73" s="438">
        <f t="shared" si="55"/>
        <v>0</v>
      </c>
      <c r="BB73" s="438">
        <f t="shared" si="55"/>
        <v>0</v>
      </c>
      <c r="BC73" s="438">
        <f t="shared" si="55"/>
        <v>0</v>
      </c>
      <c r="BD73" s="438">
        <f t="shared" si="55"/>
        <v>0</v>
      </c>
      <c r="BE73" s="439">
        <f t="shared" si="55"/>
        <v>0</v>
      </c>
      <c r="BG73" s="148" t="s">
        <v>111</v>
      </c>
      <c r="BH73" s="154"/>
      <c r="BI73" s="1394">
        <f>BI17+BI22+BI39+BI45+BI30+BI31+BI32+BI33+BI51+BI56+BI61+BI66</f>
        <v>0</v>
      </c>
      <c r="BJ73" s="437">
        <f>BJ17+BJ22+BJ39+BJ45+BJ30+BJ31+BJ32+BJ33+BJ51+BJ56+BJ61+BJ66</f>
        <v>0</v>
      </c>
      <c r="BK73" s="438">
        <f t="shared" ref="BK73:BT73" si="56">BK17+BK22+BK39+BK45+BK30+BK31+BK32+BK33+BK51+BK56+BK61+BK66</f>
        <v>0</v>
      </c>
      <c r="BL73" s="438">
        <f t="shared" si="56"/>
        <v>0</v>
      </c>
      <c r="BM73" s="438">
        <f t="shared" si="56"/>
        <v>0</v>
      </c>
      <c r="BN73" s="438">
        <f t="shared" si="56"/>
        <v>0</v>
      </c>
      <c r="BO73" s="438">
        <f t="shared" si="56"/>
        <v>0</v>
      </c>
      <c r="BP73" s="438">
        <f t="shared" si="56"/>
        <v>0</v>
      </c>
      <c r="BQ73" s="438">
        <f t="shared" si="56"/>
        <v>0</v>
      </c>
      <c r="BR73" s="438">
        <f t="shared" si="56"/>
        <v>0</v>
      </c>
      <c r="BS73" s="438">
        <f t="shared" si="56"/>
        <v>0</v>
      </c>
      <c r="BT73" s="438">
        <f t="shared" si="56"/>
        <v>0</v>
      </c>
      <c r="BU73" s="439">
        <f>BU17+BU22+BU39+BU45+BU30+BU31+BU32+BU33+BU51+BU56+BU61+BU66</f>
        <v>0</v>
      </c>
      <c r="BW73" s="148" t="s">
        <v>111</v>
      </c>
      <c r="BX73" s="154"/>
      <c r="BY73" s="1394">
        <f t="shared" ref="BY73:CK73" si="57">BY17+BY22+BY39+BY45+BY30+BY31+BY32+BY33+BY51+BY56+BY61+BY66</f>
        <v>0</v>
      </c>
      <c r="BZ73" s="437">
        <f t="shared" si="57"/>
        <v>0</v>
      </c>
      <c r="CA73" s="438">
        <f t="shared" si="57"/>
        <v>0</v>
      </c>
      <c r="CB73" s="438">
        <f t="shared" si="57"/>
        <v>0</v>
      </c>
      <c r="CC73" s="438">
        <f t="shared" si="57"/>
        <v>0</v>
      </c>
      <c r="CD73" s="438">
        <f t="shared" si="57"/>
        <v>0</v>
      </c>
      <c r="CE73" s="438">
        <f t="shared" si="57"/>
        <v>0</v>
      </c>
      <c r="CF73" s="438">
        <f t="shared" si="57"/>
        <v>0</v>
      </c>
      <c r="CG73" s="438">
        <f t="shared" si="57"/>
        <v>0</v>
      </c>
      <c r="CH73" s="438">
        <f t="shared" si="57"/>
        <v>0</v>
      </c>
      <c r="CI73" s="438">
        <f t="shared" si="57"/>
        <v>0</v>
      </c>
      <c r="CJ73" s="438">
        <f t="shared" si="57"/>
        <v>0</v>
      </c>
      <c r="CK73" s="439">
        <f t="shared" si="57"/>
        <v>0</v>
      </c>
      <c r="CM73" s="148" t="s">
        <v>111</v>
      </c>
      <c r="CN73" s="154"/>
      <c r="CO73" s="1394">
        <f t="shared" ref="CO73:DA73" si="58">CO17+CO22+CO39+CO45+CO30+CO31+CO32+CO33+CO51+CO56+CO61+CO66</f>
        <v>0</v>
      </c>
      <c r="CP73" s="437">
        <f t="shared" si="58"/>
        <v>0</v>
      </c>
      <c r="CQ73" s="438">
        <f t="shared" si="58"/>
        <v>0</v>
      </c>
      <c r="CR73" s="438">
        <f t="shared" si="58"/>
        <v>0</v>
      </c>
      <c r="CS73" s="438">
        <f t="shared" si="58"/>
        <v>0</v>
      </c>
      <c r="CT73" s="438">
        <f t="shared" si="58"/>
        <v>0</v>
      </c>
      <c r="CU73" s="438">
        <f t="shared" si="58"/>
        <v>0</v>
      </c>
      <c r="CV73" s="438">
        <f t="shared" si="58"/>
        <v>0</v>
      </c>
      <c r="CW73" s="438">
        <f t="shared" si="58"/>
        <v>0</v>
      </c>
      <c r="CX73" s="438">
        <f t="shared" si="58"/>
        <v>0</v>
      </c>
      <c r="CY73" s="438">
        <f t="shared" si="58"/>
        <v>0</v>
      </c>
      <c r="CZ73" s="438">
        <f t="shared" si="58"/>
        <v>0</v>
      </c>
      <c r="DA73" s="439">
        <f t="shared" si="58"/>
        <v>0</v>
      </c>
      <c r="DC73" s="148" t="s">
        <v>111</v>
      </c>
      <c r="DD73" s="154"/>
      <c r="DE73" s="1394">
        <f t="shared" ref="DE73:DQ73" si="59">DE17+DE22+DE39+DE45+DE30+DE31+DE32+DE33+DE51+DE56+DE61+DE66</f>
        <v>0</v>
      </c>
      <c r="DF73" s="437">
        <f t="shared" si="59"/>
        <v>0</v>
      </c>
      <c r="DG73" s="438">
        <f t="shared" si="59"/>
        <v>0</v>
      </c>
      <c r="DH73" s="438">
        <f t="shared" si="59"/>
        <v>0</v>
      </c>
      <c r="DI73" s="438">
        <f t="shared" si="59"/>
        <v>0</v>
      </c>
      <c r="DJ73" s="438">
        <f t="shared" si="59"/>
        <v>0</v>
      </c>
      <c r="DK73" s="438">
        <f t="shared" si="59"/>
        <v>0</v>
      </c>
      <c r="DL73" s="438">
        <f>DL17+DL22+DL39+DL45+DL30+DL31+DL32+DL33+DL51+DL56+DL61+DL66</f>
        <v>0</v>
      </c>
      <c r="DM73" s="438">
        <f t="shared" si="59"/>
        <v>0</v>
      </c>
      <c r="DN73" s="438">
        <f t="shared" si="59"/>
        <v>0</v>
      </c>
      <c r="DO73" s="438">
        <f t="shared" si="59"/>
        <v>0</v>
      </c>
      <c r="DP73" s="438">
        <f t="shared" si="59"/>
        <v>0</v>
      </c>
      <c r="DQ73" s="439">
        <f t="shared" si="59"/>
        <v>0</v>
      </c>
      <c r="DS73" s="148" t="s">
        <v>111</v>
      </c>
      <c r="DT73" s="154"/>
      <c r="DU73" s="1394">
        <f t="shared" ref="DU73:EG73" si="60">DU17+DU22+DU39+DU45+DU30+DU31+DU32+DU33+DU51+DU56+DU61+DU66</f>
        <v>0</v>
      </c>
      <c r="DV73" s="437">
        <f t="shared" si="60"/>
        <v>0</v>
      </c>
      <c r="DW73" s="438">
        <f t="shared" si="60"/>
        <v>0</v>
      </c>
      <c r="DX73" s="438">
        <f t="shared" si="60"/>
        <v>0</v>
      </c>
      <c r="DY73" s="438">
        <f t="shared" si="60"/>
        <v>0</v>
      </c>
      <c r="DZ73" s="438">
        <f t="shared" si="60"/>
        <v>0</v>
      </c>
      <c r="EA73" s="438">
        <f t="shared" si="60"/>
        <v>0</v>
      </c>
      <c r="EB73" s="438">
        <f t="shared" si="60"/>
        <v>0</v>
      </c>
      <c r="EC73" s="438">
        <f t="shared" si="60"/>
        <v>0</v>
      </c>
      <c r="ED73" s="438">
        <f t="shared" si="60"/>
        <v>0</v>
      </c>
      <c r="EE73" s="438">
        <f t="shared" si="60"/>
        <v>0</v>
      </c>
      <c r="EF73" s="438">
        <f t="shared" si="60"/>
        <v>0</v>
      </c>
      <c r="EG73" s="439">
        <f t="shared" si="60"/>
        <v>0</v>
      </c>
      <c r="EI73" s="148" t="s">
        <v>111</v>
      </c>
      <c r="EJ73" s="154"/>
      <c r="EK73" s="1394">
        <f t="shared" ref="EK73:EW73" si="61">EK17+EK22+EK39+EK45+EK30+EK31+EK32+EK33+EK51+EK56+EK61+EK66</f>
        <v>0</v>
      </c>
      <c r="EL73" s="437">
        <f t="shared" si="61"/>
        <v>0</v>
      </c>
      <c r="EM73" s="438">
        <f t="shared" si="61"/>
        <v>0</v>
      </c>
      <c r="EN73" s="438">
        <f t="shared" si="61"/>
        <v>0</v>
      </c>
      <c r="EO73" s="438">
        <f t="shared" si="61"/>
        <v>0</v>
      </c>
      <c r="EP73" s="438">
        <f t="shared" si="61"/>
        <v>0</v>
      </c>
      <c r="EQ73" s="438">
        <f t="shared" si="61"/>
        <v>0</v>
      </c>
      <c r="ER73" s="438">
        <f t="shared" si="61"/>
        <v>0</v>
      </c>
      <c r="ES73" s="438">
        <f t="shared" si="61"/>
        <v>0</v>
      </c>
      <c r="ET73" s="438">
        <f t="shared" si="61"/>
        <v>0</v>
      </c>
      <c r="EU73" s="438">
        <f t="shared" si="61"/>
        <v>0</v>
      </c>
      <c r="EV73" s="438">
        <f t="shared" si="61"/>
        <v>0</v>
      </c>
      <c r="EW73" s="439">
        <f t="shared" si="61"/>
        <v>0</v>
      </c>
    </row>
    <row r="74" spans="9:153" ht="13.5" thickBot="1" x14ac:dyDescent="0.25">
      <c r="I74" s="15"/>
      <c r="AA74" s="151" t="s">
        <v>178</v>
      </c>
      <c r="AB74" s="153"/>
      <c r="AC74" s="1395">
        <f t="shared" ref="AC74:AO74" si="62">AC8+AC12+AC46+AC34</f>
        <v>0</v>
      </c>
      <c r="AD74" s="440">
        <f t="shared" si="62"/>
        <v>0</v>
      </c>
      <c r="AE74" s="441">
        <f t="shared" si="62"/>
        <v>0</v>
      </c>
      <c r="AF74" s="441">
        <f t="shared" si="62"/>
        <v>0</v>
      </c>
      <c r="AG74" s="441">
        <f t="shared" si="62"/>
        <v>0</v>
      </c>
      <c r="AH74" s="441">
        <f t="shared" si="62"/>
        <v>0</v>
      </c>
      <c r="AI74" s="441">
        <f t="shared" si="62"/>
        <v>0</v>
      </c>
      <c r="AJ74" s="441">
        <f t="shared" si="62"/>
        <v>0</v>
      </c>
      <c r="AK74" s="441">
        <f t="shared" si="62"/>
        <v>0</v>
      </c>
      <c r="AL74" s="441">
        <f t="shared" si="62"/>
        <v>0</v>
      </c>
      <c r="AM74" s="441">
        <f t="shared" si="62"/>
        <v>0</v>
      </c>
      <c r="AN74" s="441">
        <f t="shared" si="62"/>
        <v>0</v>
      </c>
      <c r="AO74" s="442">
        <f t="shared" si="62"/>
        <v>0</v>
      </c>
      <c r="AQ74" s="151" t="s">
        <v>178</v>
      </c>
      <c r="AR74" s="153"/>
      <c r="AS74" s="1395">
        <f t="shared" ref="AS74:BE74" si="63">AS8+AS12+AS46+AS34</f>
        <v>0</v>
      </c>
      <c r="AT74" s="440">
        <f>AT8+AT12+AT46+AT34</f>
        <v>0</v>
      </c>
      <c r="AU74" s="441">
        <f t="shared" si="63"/>
        <v>0</v>
      </c>
      <c r="AV74" s="441">
        <f t="shared" si="63"/>
        <v>0</v>
      </c>
      <c r="AW74" s="441">
        <f t="shared" si="63"/>
        <v>0</v>
      </c>
      <c r="AX74" s="441">
        <f t="shared" si="63"/>
        <v>0</v>
      </c>
      <c r="AY74" s="441">
        <f t="shared" si="63"/>
        <v>0</v>
      </c>
      <c r="AZ74" s="441">
        <f t="shared" si="63"/>
        <v>0</v>
      </c>
      <c r="BA74" s="441">
        <f t="shared" si="63"/>
        <v>0</v>
      </c>
      <c r="BB74" s="441">
        <f t="shared" si="63"/>
        <v>0</v>
      </c>
      <c r="BC74" s="441">
        <f t="shared" si="63"/>
        <v>0</v>
      </c>
      <c r="BD74" s="441">
        <f t="shared" si="63"/>
        <v>0</v>
      </c>
      <c r="BE74" s="442">
        <f t="shared" si="63"/>
        <v>0</v>
      </c>
      <c r="BG74" s="151" t="s">
        <v>178</v>
      </c>
      <c r="BH74" s="153"/>
      <c r="BI74" s="1395">
        <f t="shared" ref="BI74:BU74" si="64">BI8+BI12+BI46+BI34</f>
        <v>0</v>
      </c>
      <c r="BJ74" s="440">
        <f t="shared" si="64"/>
        <v>0</v>
      </c>
      <c r="BK74" s="441">
        <f t="shared" si="64"/>
        <v>0</v>
      </c>
      <c r="BL74" s="441">
        <f t="shared" si="64"/>
        <v>0</v>
      </c>
      <c r="BM74" s="441">
        <f t="shared" si="64"/>
        <v>0</v>
      </c>
      <c r="BN74" s="441">
        <f t="shared" si="64"/>
        <v>0</v>
      </c>
      <c r="BO74" s="441">
        <f t="shared" si="64"/>
        <v>0</v>
      </c>
      <c r="BP74" s="441">
        <f t="shared" si="64"/>
        <v>0</v>
      </c>
      <c r="BQ74" s="441">
        <f t="shared" si="64"/>
        <v>0</v>
      </c>
      <c r="BR74" s="441">
        <f t="shared" si="64"/>
        <v>0</v>
      </c>
      <c r="BS74" s="441">
        <f t="shared" si="64"/>
        <v>0</v>
      </c>
      <c r="BT74" s="441">
        <f t="shared" si="64"/>
        <v>0</v>
      </c>
      <c r="BU74" s="442">
        <f t="shared" si="64"/>
        <v>0</v>
      </c>
      <c r="BW74" s="151" t="s">
        <v>178</v>
      </c>
      <c r="BX74" s="153"/>
      <c r="BY74" s="1395">
        <f t="shared" ref="BY74:CK74" si="65">BY8+BY12+BY46+BY34</f>
        <v>0</v>
      </c>
      <c r="BZ74" s="440">
        <f t="shared" si="65"/>
        <v>0</v>
      </c>
      <c r="CA74" s="441">
        <f t="shared" si="65"/>
        <v>0</v>
      </c>
      <c r="CB74" s="441">
        <f t="shared" si="65"/>
        <v>0</v>
      </c>
      <c r="CC74" s="441">
        <f t="shared" si="65"/>
        <v>0</v>
      </c>
      <c r="CD74" s="441">
        <f t="shared" si="65"/>
        <v>0</v>
      </c>
      <c r="CE74" s="441">
        <f t="shared" si="65"/>
        <v>0</v>
      </c>
      <c r="CF74" s="441">
        <f t="shared" si="65"/>
        <v>0</v>
      </c>
      <c r="CG74" s="441">
        <f t="shared" si="65"/>
        <v>0</v>
      </c>
      <c r="CH74" s="441">
        <f t="shared" si="65"/>
        <v>0</v>
      </c>
      <c r="CI74" s="441">
        <f t="shared" si="65"/>
        <v>0</v>
      </c>
      <c r="CJ74" s="441">
        <f t="shared" si="65"/>
        <v>0</v>
      </c>
      <c r="CK74" s="442">
        <f t="shared" si="65"/>
        <v>0</v>
      </c>
      <c r="CM74" s="151" t="s">
        <v>178</v>
      </c>
      <c r="CN74" s="153"/>
      <c r="CO74" s="1395">
        <f t="shared" ref="CO74:DA74" si="66">CO8+CO12+CO46+CO34</f>
        <v>0</v>
      </c>
      <c r="CP74" s="440">
        <f t="shared" si="66"/>
        <v>0</v>
      </c>
      <c r="CQ74" s="441">
        <f t="shared" si="66"/>
        <v>0</v>
      </c>
      <c r="CR74" s="441">
        <f t="shared" si="66"/>
        <v>0</v>
      </c>
      <c r="CS74" s="441">
        <f t="shared" si="66"/>
        <v>0</v>
      </c>
      <c r="CT74" s="441">
        <f t="shared" si="66"/>
        <v>0</v>
      </c>
      <c r="CU74" s="441">
        <f t="shared" si="66"/>
        <v>0</v>
      </c>
      <c r="CV74" s="441">
        <f t="shared" si="66"/>
        <v>0</v>
      </c>
      <c r="CW74" s="441">
        <f t="shared" si="66"/>
        <v>0</v>
      </c>
      <c r="CX74" s="441">
        <f t="shared" si="66"/>
        <v>0</v>
      </c>
      <c r="CY74" s="441">
        <f t="shared" si="66"/>
        <v>0</v>
      </c>
      <c r="CZ74" s="441">
        <f t="shared" si="66"/>
        <v>0</v>
      </c>
      <c r="DA74" s="442">
        <f t="shared" si="66"/>
        <v>0</v>
      </c>
      <c r="DC74" s="151" t="s">
        <v>178</v>
      </c>
      <c r="DD74" s="153"/>
      <c r="DE74" s="1395">
        <f t="shared" ref="DE74:DQ74" si="67">DE8+DE12+DE46+DE34</f>
        <v>0</v>
      </c>
      <c r="DF74" s="440">
        <f t="shared" si="67"/>
        <v>0</v>
      </c>
      <c r="DG74" s="441">
        <f t="shared" si="67"/>
        <v>0</v>
      </c>
      <c r="DH74" s="441">
        <f t="shared" si="67"/>
        <v>0</v>
      </c>
      <c r="DI74" s="441">
        <f t="shared" si="67"/>
        <v>0</v>
      </c>
      <c r="DJ74" s="441">
        <f t="shared" si="67"/>
        <v>0</v>
      </c>
      <c r="DK74" s="441">
        <f t="shared" si="67"/>
        <v>0</v>
      </c>
      <c r="DL74" s="441">
        <f t="shared" si="67"/>
        <v>0</v>
      </c>
      <c r="DM74" s="441">
        <f t="shared" si="67"/>
        <v>0</v>
      </c>
      <c r="DN74" s="441">
        <f t="shared" si="67"/>
        <v>0</v>
      </c>
      <c r="DO74" s="441">
        <f t="shared" si="67"/>
        <v>0</v>
      </c>
      <c r="DP74" s="441">
        <f t="shared" si="67"/>
        <v>0</v>
      </c>
      <c r="DQ74" s="442">
        <f t="shared" si="67"/>
        <v>0</v>
      </c>
      <c r="DS74" s="151" t="s">
        <v>178</v>
      </c>
      <c r="DT74" s="153"/>
      <c r="DU74" s="1395">
        <f t="shared" ref="DU74:EG74" si="68">DU8+DU12+DU46+DU34</f>
        <v>0</v>
      </c>
      <c r="DV74" s="440">
        <f t="shared" si="68"/>
        <v>0</v>
      </c>
      <c r="DW74" s="441">
        <f t="shared" si="68"/>
        <v>0</v>
      </c>
      <c r="DX74" s="441">
        <f t="shared" si="68"/>
        <v>0</v>
      </c>
      <c r="DY74" s="441">
        <f t="shared" si="68"/>
        <v>0</v>
      </c>
      <c r="DZ74" s="441">
        <f t="shared" si="68"/>
        <v>0</v>
      </c>
      <c r="EA74" s="441">
        <f t="shared" si="68"/>
        <v>0</v>
      </c>
      <c r="EB74" s="441">
        <f t="shared" si="68"/>
        <v>0</v>
      </c>
      <c r="EC74" s="441">
        <f t="shared" si="68"/>
        <v>0</v>
      </c>
      <c r="ED74" s="441">
        <f t="shared" si="68"/>
        <v>0</v>
      </c>
      <c r="EE74" s="441">
        <f t="shared" si="68"/>
        <v>0</v>
      </c>
      <c r="EF74" s="441">
        <f t="shared" si="68"/>
        <v>0</v>
      </c>
      <c r="EG74" s="442">
        <f t="shared" si="68"/>
        <v>0</v>
      </c>
      <c r="EI74" s="151" t="s">
        <v>178</v>
      </c>
      <c r="EJ74" s="153"/>
      <c r="EK74" s="1395">
        <f t="shared" ref="EK74:EW74" si="69">EK8+EK12+EK46+EK34</f>
        <v>0</v>
      </c>
      <c r="EL74" s="440">
        <f t="shared" si="69"/>
        <v>0</v>
      </c>
      <c r="EM74" s="441">
        <f t="shared" si="69"/>
        <v>0</v>
      </c>
      <c r="EN74" s="441">
        <f t="shared" si="69"/>
        <v>0</v>
      </c>
      <c r="EO74" s="441">
        <f t="shared" si="69"/>
        <v>0</v>
      </c>
      <c r="EP74" s="441">
        <f t="shared" si="69"/>
        <v>0</v>
      </c>
      <c r="EQ74" s="441">
        <f t="shared" si="69"/>
        <v>0</v>
      </c>
      <c r="ER74" s="441">
        <f t="shared" si="69"/>
        <v>0</v>
      </c>
      <c r="ES74" s="441">
        <f t="shared" si="69"/>
        <v>0</v>
      </c>
      <c r="ET74" s="441">
        <f t="shared" si="69"/>
        <v>0</v>
      </c>
      <c r="EU74" s="441">
        <f t="shared" si="69"/>
        <v>0</v>
      </c>
      <c r="EV74" s="441">
        <f t="shared" si="69"/>
        <v>0</v>
      </c>
      <c r="EW74" s="442">
        <f t="shared" si="69"/>
        <v>0</v>
      </c>
    </row>
    <row r="75" spans="9:153" ht="13.5" thickBot="1" x14ac:dyDescent="0.25">
      <c r="I75" s="15"/>
      <c r="AA75" s="150" t="s">
        <v>189</v>
      </c>
      <c r="AB75" s="155"/>
      <c r="AC75" s="1383">
        <f t="shared" ref="AC75:AO75" si="70">SUM(AC71:AC74)</f>
        <v>0</v>
      </c>
      <c r="AD75" s="548">
        <f t="shared" si="70"/>
        <v>0</v>
      </c>
      <c r="AE75" s="553">
        <f t="shared" si="70"/>
        <v>0</v>
      </c>
      <c r="AF75" s="553">
        <f t="shared" si="70"/>
        <v>0</v>
      </c>
      <c r="AG75" s="553">
        <f t="shared" si="70"/>
        <v>0</v>
      </c>
      <c r="AH75" s="553">
        <f t="shared" si="70"/>
        <v>0</v>
      </c>
      <c r="AI75" s="553">
        <f t="shared" si="70"/>
        <v>0</v>
      </c>
      <c r="AJ75" s="553">
        <f t="shared" si="70"/>
        <v>0</v>
      </c>
      <c r="AK75" s="553">
        <f t="shared" si="70"/>
        <v>0</v>
      </c>
      <c r="AL75" s="553">
        <f t="shared" si="70"/>
        <v>0</v>
      </c>
      <c r="AM75" s="553">
        <f t="shared" si="70"/>
        <v>0</v>
      </c>
      <c r="AN75" s="553">
        <f t="shared" si="70"/>
        <v>0</v>
      </c>
      <c r="AO75" s="554">
        <f t="shared" si="70"/>
        <v>0</v>
      </c>
      <c r="AQ75" s="150" t="s">
        <v>189</v>
      </c>
      <c r="AR75" s="155"/>
      <c r="AS75" s="1383">
        <f>SUM(AS71:AS74)</f>
        <v>0</v>
      </c>
      <c r="AT75" s="548">
        <f>SUM(AT71:AT74)</f>
        <v>0</v>
      </c>
      <c r="AU75" s="553">
        <f>SUM(AU71:AU74)</f>
        <v>0</v>
      </c>
      <c r="AV75" s="553">
        <f t="shared" ref="AV75:BD75" si="71">SUM(AV71:AV74)</f>
        <v>0</v>
      </c>
      <c r="AW75" s="553">
        <f t="shared" si="71"/>
        <v>0</v>
      </c>
      <c r="AX75" s="553">
        <f>SUM(AX71:AX74)</f>
        <v>0</v>
      </c>
      <c r="AY75" s="553">
        <f t="shared" si="71"/>
        <v>0</v>
      </c>
      <c r="AZ75" s="553">
        <f t="shared" si="71"/>
        <v>0</v>
      </c>
      <c r="BA75" s="553">
        <f t="shared" si="71"/>
        <v>0</v>
      </c>
      <c r="BB75" s="553">
        <f t="shared" si="71"/>
        <v>0</v>
      </c>
      <c r="BC75" s="553">
        <f t="shared" si="71"/>
        <v>0</v>
      </c>
      <c r="BD75" s="553">
        <f t="shared" si="71"/>
        <v>0</v>
      </c>
      <c r="BE75" s="554">
        <f>SUM(BE71:BE74)</f>
        <v>0</v>
      </c>
      <c r="BG75" s="150" t="s">
        <v>189</v>
      </c>
      <c r="BH75" s="155"/>
      <c r="BI75" s="1383">
        <f>SUM(BI71:BI74)</f>
        <v>0</v>
      </c>
      <c r="BJ75" s="548">
        <f>SUM(BJ71:BJ74)</f>
        <v>0</v>
      </c>
      <c r="BK75" s="553">
        <f t="shared" ref="BK75:BT75" si="72">SUM(BK71:BK74)</f>
        <v>0</v>
      </c>
      <c r="BL75" s="553">
        <f t="shared" si="72"/>
        <v>0</v>
      </c>
      <c r="BM75" s="553">
        <f t="shared" si="72"/>
        <v>0</v>
      </c>
      <c r="BN75" s="553">
        <f t="shared" si="72"/>
        <v>0</v>
      </c>
      <c r="BO75" s="553">
        <f t="shared" si="72"/>
        <v>0</v>
      </c>
      <c r="BP75" s="553">
        <f t="shared" si="72"/>
        <v>0</v>
      </c>
      <c r="BQ75" s="553">
        <f t="shared" si="72"/>
        <v>0</v>
      </c>
      <c r="BR75" s="553">
        <f t="shared" si="72"/>
        <v>0</v>
      </c>
      <c r="BS75" s="553">
        <f t="shared" si="72"/>
        <v>0</v>
      </c>
      <c r="BT75" s="553">
        <f t="shared" si="72"/>
        <v>0</v>
      </c>
      <c r="BU75" s="554">
        <f>SUM(BU71:BU74)</f>
        <v>0</v>
      </c>
      <c r="BW75" s="150" t="s">
        <v>189</v>
      </c>
      <c r="BX75" s="155"/>
      <c r="BY75" s="1383">
        <f>SUM(BY71:BY74)</f>
        <v>0</v>
      </c>
      <c r="BZ75" s="548">
        <f t="shared" ref="BZ75:CJ75" si="73">SUM(BZ71:BZ74)</f>
        <v>0</v>
      </c>
      <c r="CA75" s="553">
        <f t="shared" si="73"/>
        <v>0</v>
      </c>
      <c r="CB75" s="553">
        <f t="shared" si="73"/>
        <v>0</v>
      </c>
      <c r="CC75" s="553">
        <f t="shared" si="73"/>
        <v>0</v>
      </c>
      <c r="CD75" s="553">
        <f t="shared" si="73"/>
        <v>0</v>
      </c>
      <c r="CE75" s="553">
        <f t="shared" si="73"/>
        <v>0</v>
      </c>
      <c r="CF75" s="553">
        <f t="shared" si="73"/>
        <v>0</v>
      </c>
      <c r="CG75" s="553">
        <f t="shared" si="73"/>
        <v>0</v>
      </c>
      <c r="CH75" s="553">
        <f t="shared" si="73"/>
        <v>0</v>
      </c>
      <c r="CI75" s="553">
        <f t="shared" si="73"/>
        <v>0</v>
      </c>
      <c r="CJ75" s="553">
        <f t="shared" si="73"/>
        <v>0</v>
      </c>
      <c r="CK75" s="554">
        <f>SUM(CK71:CK74)</f>
        <v>0</v>
      </c>
      <c r="CM75" s="150" t="s">
        <v>189</v>
      </c>
      <c r="CN75" s="155"/>
      <c r="CO75" s="1383">
        <f>SUM(CO71:CO74)</f>
        <v>0</v>
      </c>
      <c r="CP75" s="548">
        <f t="shared" ref="CP75:DA75" si="74">SUM(CP71:CP74)</f>
        <v>0</v>
      </c>
      <c r="CQ75" s="553">
        <f t="shared" si="74"/>
        <v>0</v>
      </c>
      <c r="CR75" s="553">
        <f t="shared" si="74"/>
        <v>0</v>
      </c>
      <c r="CS75" s="553">
        <f t="shared" si="74"/>
        <v>0</v>
      </c>
      <c r="CT75" s="553">
        <f t="shared" si="74"/>
        <v>0</v>
      </c>
      <c r="CU75" s="553">
        <f t="shared" si="74"/>
        <v>0</v>
      </c>
      <c r="CV75" s="553">
        <f t="shared" si="74"/>
        <v>0</v>
      </c>
      <c r="CW75" s="553">
        <f t="shared" si="74"/>
        <v>0</v>
      </c>
      <c r="CX75" s="553">
        <f t="shared" si="74"/>
        <v>0</v>
      </c>
      <c r="CY75" s="553">
        <f t="shared" si="74"/>
        <v>0</v>
      </c>
      <c r="CZ75" s="553">
        <f t="shared" si="74"/>
        <v>0</v>
      </c>
      <c r="DA75" s="554">
        <f t="shared" si="74"/>
        <v>0</v>
      </c>
      <c r="DC75" s="150" t="s">
        <v>189</v>
      </c>
      <c r="DD75" s="155"/>
      <c r="DE75" s="1383">
        <f>SUM(DE71:DE74)</f>
        <v>0</v>
      </c>
      <c r="DF75" s="548">
        <f t="shared" ref="DF75:DP75" si="75">SUM(DF71:DF74)</f>
        <v>0</v>
      </c>
      <c r="DG75" s="553">
        <f t="shared" si="75"/>
        <v>0</v>
      </c>
      <c r="DH75" s="553">
        <f t="shared" si="75"/>
        <v>0</v>
      </c>
      <c r="DI75" s="553">
        <f t="shared" si="75"/>
        <v>0</v>
      </c>
      <c r="DJ75" s="553">
        <f t="shared" si="75"/>
        <v>0</v>
      </c>
      <c r="DK75" s="553">
        <f t="shared" si="75"/>
        <v>0</v>
      </c>
      <c r="DL75" s="553">
        <f t="shared" si="75"/>
        <v>0</v>
      </c>
      <c r="DM75" s="553">
        <f t="shared" si="75"/>
        <v>0</v>
      </c>
      <c r="DN75" s="553">
        <f t="shared" si="75"/>
        <v>0</v>
      </c>
      <c r="DO75" s="553">
        <f t="shared" si="75"/>
        <v>0</v>
      </c>
      <c r="DP75" s="553">
        <f t="shared" si="75"/>
        <v>0</v>
      </c>
      <c r="DQ75" s="554">
        <f>SUM(DQ71:DQ74)</f>
        <v>0</v>
      </c>
      <c r="DS75" s="150" t="s">
        <v>189</v>
      </c>
      <c r="DT75" s="155"/>
      <c r="DU75" s="1383">
        <f>SUM(DU71:DU74)</f>
        <v>0</v>
      </c>
      <c r="DV75" s="548">
        <f t="shared" ref="DV75:EG75" si="76">SUM(DV71:DV74)</f>
        <v>0</v>
      </c>
      <c r="DW75" s="553">
        <f>SUM(DW71:DW74)</f>
        <v>0</v>
      </c>
      <c r="DX75" s="553">
        <f t="shared" si="76"/>
        <v>0</v>
      </c>
      <c r="DY75" s="553">
        <f t="shared" si="76"/>
        <v>0</v>
      </c>
      <c r="DZ75" s="553">
        <f t="shared" si="76"/>
        <v>0</v>
      </c>
      <c r="EA75" s="553">
        <f t="shared" si="76"/>
        <v>0</v>
      </c>
      <c r="EB75" s="553">
        <f t="shared" si="76"/>
        <v>0</v>
      </c>
      <c r="EC75" s="553">
        <f t="shared" si="76"/>
        <v>0</v>
      </c>
      <c r="ED75" s="553">
        <f t="shared" si="76"/>
        <v>0</v>
      </c>
      <c r="EE75" s="553">
        <f t="shared" si="76"/>
        <v>0</v>
      </c>
      <c r="EF75" s="553">
        <f>SUM(EF71:EF74)</f>
        <v>0</v>
      </c>
      <c r="EG75" s="554">
        <f t="shared" si="76"/>
        <v>0</v>
      </c>
      <c r="EI75" s="150" t="s">
        <v>189</v>
      </c>
      <c r="EJ75" s="155"/>
      <c r="EK75" s="1383">
        <f>SUM(EK71:EK74)</f>
        <v>0</v>
      </c>
      <c r="EL75" s="548">
        <f>SUM(EL71:EL74)</f>
        <v>0</v>
      </c>
      <c r="EM75" s="553">
        <f>SUM(EM71:EM74)</f>
        <v>0</v>
      </c>
      <c r="EN75" s="553">
        <f t="shared" ref="EN75:EV75" si="77">SUM(EN71:EN74)</f>
        <v>0</v>
      </c>
      <c r="EO75" s="553">
        <f t="shared" si="77"/>
        <v>0</v>
      </c>
      <c r="EP75" s="553">
        <f t="shared" si="77"/>
        <v>0</v>
      </c>
      <c r="EQ75" s="553">
        <f t="shared" si="77"/>
        <v>0</v>
      </c>
      <c r="ER75" s="553">
        <f t="shared" si="77"/>
        <v>0</v>
      </c>
      <c r="ES75" s="553">
        <f t="shared" si="77"/>
        <v>0</v>
      </c>
      <c r="ET75" s="553">
        <f t="shared" si="77"/>
        <v>0</v>
      </c>
      <c r="EU75" s="553">
        <f t="shared" si="77"/>
        <v>0</v>
      </c>
      <c r="EV75" s="553">
        <f t="shared" si="77"/>
        <v>0</v>
      </c>
      <c r="EW75" s="554">
        <f>SUM(EW71:EW74)</f>
        <v>0</v>
      </c>
    </row>
    <row r="76" spans="9:153" x14ac:dyDescent="0.2">
      <c r="I76" s="15"/>
    </row>
    <row r="77" spans="9:153" x14ac:dyDescent="0.2">
      <c r="I77" s="15"/>
    </row>
    <row r="80" spans="9:153" x14ac:dyDescent="0.2">
      <c r="AC80"/>
      <c r="AD80"/>
      <c r="AE80"/>
      <c r="AF80"/>
      <c r="AG80"/>
      <c r="AH80"/>
      <c r="AI80"/>
      <c r="AJ80"/>
      <c r="AK80"/>
      <c r="AL80"/>
      <c r="AM80"/>
      <c r="AN80"/>
      <c r="AO80"/>
      <c r="AT80"/>
      <c r="AU80"/>
      <c r="AV80"/>
      <c r="AW80"/>
      <c r="AX80"/>
      <c r="AY80"/>
      <c r="AZ80"/>
      <c r="BA80"/>
      <c r="BB80"/>
      <c r="BC80"/>
      <c r="BD80"/>
      <c r="BE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row>
    <row r="81" spans="29:153" x14ac:dyDescent="0.2">
      <c r="AC81"/>
      <c r="AD81"/>
      <c r="AE81"/>
      <c r="AF81"/>
      <c r="AG81"/>
      <c r="AH81"/>
      <c r="AI81"/>
      <c r="AJ81"/>
      <c r="AK81"/>
      <c r="AL81"/>
      <c r="AM81"/>
      <c r="AN81"/>
      <c r="AO81"/>
      <c r="AT81"/>
      <c r="AU81"/>
      <c r="AV81"/>
      <c r="AW81"/>
      <c r="AX81"/>
      <c r="AY81"/>
      <c r="AZ81"/>
      <c r="BA81"/>
      <c r="BB81"/>
      <c r="BC81"/>
      <c r="BD81"/>
      <c r="BE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row>
    <row r="82" spans="29:153" x14ac:dyDescent="0.2">
      <c r="AC82"/>
      <c r="AD82"/>
      <c r="AE82"/>
      <c r="AF82"/>
      <c r="AG82"/>
      <c r="AH82"/>
      <c r="AI82"/>
      <c r="AJ82"/>
      <c r="AK82"/>
      <c r="AL82"/>
      <c r="AM82"/>
      <c r="AN82"/>
      <c r="AO82"/>
      <c r="AT82"/>
      <c r="AU82"/>
      <c r="AV82"/>
      <c r="AW82"/>
      <c r="AX82"/>
      <c r="AY82"/>
      <c r="AZ82"/>
      <c r="BA82"/>
      <c r="BB82"/>
      <c r="BC82"/>
      <c r="BD82"/>
      <c r="BE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row>
    <row r="83" spans="29:153" x14ac:dyDescent="0.2">
      <c r="AC83"/>
      <c r="AD83"/>
      <c r="AE83"/>
      <c r="AF83"/>
      <c r="AG83"/>
      <c r="AH83"/>
      <c r="AI83"/>
      <c r="AJ83"/>
      <c r="AK83"/>
      <c r="AL83"/>
      <c r="AM83"/>
      <c r="AN83"/>
      <c r="AO83"/>
      <c r="AT83"/>
      <c r="AU83"/>
      <c r="AV83"/>
      <c r="AW83"/>
      <c r="AX83"/>
      <c r="AY83"/>
      <c r="AZ83"/>
      <c r="BA83"/>
      <c r="BB83"/>
      <c r="BC83"/>
      <c r="BD83"/>
      <c r="BE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row>
    <row r="84" spans="29:153" x14ac:dyDescent="0.2">
      <c r="AC84"/>
      <c r="AD84"/>
      <c r="AE84"/>
      <c r="AF84"/>
      <c r="AG84"/>
      <c r="AH84"/>
      <c r="AI84"/>
      <c r="AJ84"/>
      <c r="AK84"/>
      <c r="AL84"/>
      <c r="AM84"/>
      <c r="AN84"/>
      <c r="AO84"/>
      <c r="AT84"/>
      <c r="AU84"/>
      <c r="AV84"/>
      <c r="AW84"/>
      <c r="AX84"/>
      <c r="AY84"/>
      <c r="AZ84"/>
      <c r="BA84"/>
      <c r="BB84"/>
      <c r="BC84"/>
      <c r="BD84"/>
      <c r="BE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row>
    <row r="85" spans="29:153" x14ac:dyDescent="0.2">
      <c r="AC85"/>
      <c r="AD85"/>
      <c r="AE85"/>
      <c r="AF85"/>
      <c r="AG85"/>
      <c r="AH85"/>
      <c r="AI85"/>
      <c r="AJ85"/>
      <c r="AK85"/>
      <c r="AL85"/>
      <c r="AM85"/>
      <c r="AN85"/>
      <c r="AO85"/>
      <c r="AT85"/>
      <c r="AU85"/>
      <c r="AV85"/>
      <c r="AW85"/>
      <c r="AX85"/>
      <c r="AY85"/>
      <c r="AZ85"/>
      <c r="BA85"/>
      <c r="BB85"/>
      <c r="BC85"/>
      <c r="BD85"/>
      <c r="BE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row>
    <row r="94" spans="29:153" x14ac:dyDescent="0.2">
      <c r="BG94" s="106"/>
      <c r="BH94" s="106"/>
      <c r="CM94"/>
      <c r="CN94"/>
      <c r="DE94" s="106"/>
      <c r="DF94" s="106"/>
      <c r="DG94" s="106"/>
      <c r="DH94" s="106"/>
      <c r="DI94" s="106"/>
      <c r="DJ94" s="106"/>
      <c r="DK94" s="106"/>
      <c r="DL94" s="106"/>
      <c r="DM94" s="106"/>
      <c r="DN94" s="106"/>
      <c r="DO94" s="106"/>
      <c r="DP94" s="106"/>
      <c r="DQ94" s="106"/>
      <c r="DS94" s="106"/>
      <c r="DT94" s="106"/>
      <c r="DU94" s="106"/>
      <c r="DV94" s="106"/>
      <c r="DW94" s="106"/>
      <c r="DX94" s="106"/>
      <c r="DY94" s="106"/>
      <c r="DZ94" s="106"/>
      <c r="EA94" s="106"/>
      <c r="EB94" s="106"/>
      <c r="EC94" s="106"/>
      <c r="ED94" s="106"/>
      <c r="EE94" s="106"/>
      <c r="EF94" s="106"/>
      <c r="EG94" s="106"/>
      <c r="EI94" s="106"/>
      <c r="EJ94" s="106"/>
      <c r="EK94" s="106"/>
      <c r="EL94" s="106"/>
      <c r="EM94" s="106"/>
      <c r="EN94" s="106"/>
      <c r="EO94" s="106"/>
      <c r="EP94" s="106"/>
      <c r="EQ94" s="106"/>
      <c r="ER94" s="106"/>
      <c r="ES94" s="106"/>
      <c r="ET94" s="106"/>
      <c r="EU94" s="106"/>
      <c r="EV94" s="106"/>
      <c r="EW94" s="106"/>
    </row>
  </sheetData>
  <sheetProtection password="C576" sheet="1" objects="1" scenarios="1"/>
  <mergeCells count="3">
    <mergeCell ref="B2:G2"/>
    <mergeCell ref="K2:Q2"/>
    <mergeCell ref="B45:B46"/>
  </mergeCells>
  <phoneticPr fontId="0" type="noConversion"/>
  <pageMargins left="0.74803149606299213" right="0.74803149606299213" top="0.98425196850393704" bottom="0.98425196850393704" header="0.51181102362204722" footer="0.51181102362204722"/>
  <pageSetup paperSize="9" scale="63" orientation="portrait" r:id="rId1"/>
  <headerFooter alignWithMargins="0"/>
  <legacy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I95"/>
  <sheetViews>
    <sheetView showGridLines="0" zoomScaleNormal="100" workbookViewId="0">
      <selection activeCell="J30" sqref="J30"/>
    </sheetView>
  </sheetViews>
  <sheetFormatPr defaultRowHeight="12.75" x14ac:dyDescent="0.2"/>
  <cols>
    <col min="1" max="1" width="3" customWidth="1"/>
    <col min="2" max="2" width="40.85546875" customWidth="1"/>
    <col min="3" max="3" width="10.85546875" style="106" customWidth="1"/>
    <col min="4" max="5" width="10.140625" style="106" customWidth="1"/>
    <col min="6" max="6" width="10.140625" style="166" customWidth="1"/>
    <col min="7" max="8" width="10.140625" style="106" customWidth="1"/>
    <col min="9" max="9" width="10" style="166" customWidth="1"/>
    <col min="10" max="11" width="10" style="106" customWidth="1"/>
    <col min="12" max="20" width="10" style="34" customWidth="1"/>
    <col min="21" max="21" width="19.42578125" style="34" customWidth="1"/>
    <col min="22" max="22" width="4.7109375" customWidth="1"/>
    <col min="23" max="23" width="4.140625" customWidth="1"/>
  </cols>
  <sheetData>
    <row r="1" spans="2:61" ht="21" customHeight="1" thickBot="1" x14ac:dyDescent="0.25"/>
    <row r="2" spans="2:61" ht="23.25" customHeight="1" thickBot="1" x14ac:dyDescent="0.35">
      <c r="B2" s="90" t="s">
        <v>410</v>
      </c>
      <c r="C2" s="380"/>
      <c r="D2" s="381"/>
      <c r="P2" s="34" t="s">
        <v>1</v>
      </c>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c r="BF2" s="705"/>
      <c r="BG2" s="705"/>
      <c r="BH2" s="705"/>
      <c r="BI2" s="705"/>
    </row>
    <row r="3" spans="2:61" ht="18.75" thickBot="1" x14ac:dyDescent="0.3">
      <c r="X3" s="705"/>
      <c r="Y3" s="708"/>
      <c r="Z3" s="749" t="str">
        <f>D4</f>
        <v>Verkko1</v>
      </c>
      <c r="AA3" s="708"/>
      <c r="AB3" s="708"/>
      <c r="AC3" s="708"/>
      <c r="AD3" s="708"/>
      <c r="AE3" s="708"/>
      <c r="AF3" s="708" t="str">
        <f>G4</f>
        <v>Verkko2</v>
      </c>
      <c r="AG3" s="708"/>
      <c r="AH3" s="708"/>
      <c r="AI3" s="708"/>
      <c r="AJ3" s="708"/>
      <c r="AK3" s="708"/>
      <c r="AL3" s="708" t="str">
        <f>J4</f>
        <v>Isorysä1</v>
      </c>
      <c r="AM3" s="708"/>
      <c r="AN3" s="708"/>
      <c r="AO3" s="708"/>
      <c r="AP3" s="708"/>
      <c r="AQ3" s="708"/>
      <c r="AR3" s="708" t="str">
        <f>M4</f>
        <v>Isorysä2</v>
      </c>
      <c r="AS3" s="705"/>
      <c r="AT3" s="708"/>
      <c r="AU3" s="708"/>
      <c r="AV3" s="708"/>
      <c r="AW3" s="708"/>
      <c r="AX3" s="708" t="str">
        <f>P4</f>
        <v>PU-rysä1</v>
      </c>
      <c r="AY3" s="705"/>
      <c r="AZ3" s="708"/>
      <c r="BA3" s="708"/>
      <c r="BB3" s="708"/>
      <c r="BC3" s="708"/>
      <c r="BD3" s="708" t="str">
        <f>S4</f>
        <v>PU-rysä2</v>
      </c>
      <c r="BE3" s="705"/>
      <c r="BF3" s="708"/>
      <c r="BG3" s="705"/>
      <c r="BH3" s="705"/>
      <c r="BI3" s="705"/>
    </row>
    <row r="4" spans="2:61" ht="15.75" x14ac:dyDescent="0.25">
      <c r="B4" s="190" t="s">
        <v>418</v>
      </c>
      <c r="C4" s="167"/>
      <c r="D4" s="108" t="str">
        <f>'3 Saalis'!T67</f>
        <v>Verkko1</v>
      </c>
      <c r="E4" s="113"/>
      <c r="F4" s="747"/>
      <c r="G4" s="108" t="str">
        <f>'3 Saalis'!T89</f>
        <v>Verkko2</v>
      </c>
      <c r="H4" s="113"/>
      <c r="I4" s="112"/>
      <c r="J4" s="107" t="str">
        <f>'3 Saalis'!T111</f>
        <v>Isorysä1</v>
      </c>
      <c r="K4" s="113"/>
      <c r="L4" s="112"/>
      <c r="M4" s="107" t="str">
        <f>'3 Saalis'!T133</f>
        <v>Isorysä2</v>
      </c>
      <c r="N4" s="113"/>
      <c r="O4" s="167"/>
      <c r="P4" s="108" t="str">
        <f>'3 Saalis'!T155</f>
        <v>PU-rysä1</v>
      </c>
      <c r="Q4" s="113"/>
      <c r="R4" s="167"/>
      <c r="S4" s="108" t="str">
        <f>'3 Saalis'!T177</f>
        <v>PU-rysä2</v>
      </c>
      <c r="T4" s="113"/>
      <c r="U4" s="52" t="s">
        <v>218</v>
      </c>
      <c r="X4" s="705"/>
      <c r="Y4" s="705"/>
      <c r="Z4" s="705"/>
      <c r="AA4" s="705"/>
      <c r="AB4" s="705"/>
      <c r="AC4" s="705"/>
      <c r="AD4" s="705"/>
      <c r="AE4" s="705"/>
      <c r="AF4" s="705"/>
      <c r="AG4" s="705"/>
      <c r="AH4" s="705"/>
      <c r="AI4" s="705"/>
      <c r="AJ4" s="705"/>
      <c r="AK4" s="705"/>
      <c r="AL4" s="705"/>
      <c r="AM4" s="705"/>
      <c r="AN4" s="705"/>
      <c r="AO4" s="705"/>
      <c r="AP4" s="705"/>
      <c r="AQ4" s="705"/>
      <c r="AR4" s="705"/>
      <c r="AS4" s="705"/>
      <c r="AT4" s="705"/>
      <c r="AU4" s="705"/>
      <c r="AV4" s="705"/>
      <c r="AW4" s="705"/>
      <c r="AX4" s="705"/>
      <c r="AY4" s="705"/>
      <c r="AZ4" s="705"/>
      <c r="BA4" s="705"/>
      <c r="BB4" s="705"/>
      <c r="BC4" s="705"/>
      <c r="BD4" s="705"/>
      <c r="BE4" s="705"/>
      <c r="BF4" s="705"/>
      <c r="BG4" s="705"/>
      <c r="BH4" s="705"/>
      <c r="BI4" s="705"/>
    </row>
    <row r="5" spans="2:61" ht="16.5" thickBot="1" x14ac:dyDescent="0.3">
      <c r="B5" s="191" t="s">
        <v>1</v>
      </c>
      <c r="C5" s="168"/>
      <c r="D5" s="165"/>
      <c r="E5" s="115"/>
      <c r="F5" s="193"/>
      <c r="G5" s="165"/>
      <c r="H5" s="115"/>
      <c r="I5" s="195"/>
      <c r="J5" s="165"/>
      <c r="K5" s="114"/>
      <c r="L5" s="195"/>
      <c r="M5" s="165"/>
      <c r="N5" s="114"/>
      <c r="O5" s="168"/>
      <c r="P5" s="165"/>
      <c r="Q5" s="114"/>
      <c r="R5" s="168"/>
      <c r="S5" s="165"/>
      <c r="T5" s="114"/>
      <c r="U5" s="55" t="s">
        <v>232</v>
      </c>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c r="BF5" s="705"/>
      <c r="BG5" s="705"/>
      <c r="BH5" s="705"/>
      <c r="BI5" s="705"/>
    </row>
    <row r="6" spans="2:61" x14ac:dyDescent="0.2">
      <c r="B6" s="5" t="s">
        <v>419</v>
      </c>
      <c r="C6" s="169"/>
      <c r="D6" s="197"/>
      <c r="E6" s="620">
        <f>SUM(D7:D12)</f>
        <v>0</v>
      </c>
      <c r="F6" s="192"/>
      <c r="G6" s="197"/>
      <c r="H6" s="619">
        <f>SUM(G7:G12)</f>
        <v>0</v>
      </c>
      <c r="I6" s="196"/>
      <c r="J6" s="197"/>
      <c r="K6" s="619">
        <f>SUM(J7:J12)</f>
        <v>0</v>
      </c>
      <c r="L6" s="196"/>
      <c r="M6" s="197"/>
      <c r="N6" s="619">
        <f>SUM(M7:M12)</f>
        <v>0</v>
      </c>
      <c r="O6" s="169"/>
      <c r="P6" s="197"/>
      <c r="Q6" s="620">
        <f>SUM(P7:P12)</f>
        <v>0</v>
      </c>
      <c r="R6" s="169"/>
      <c r="S6" s="197"/>
      <c r="T6" s="620">
        <f>SUM(S7:S12)</f>
        <v>0</v>
      </c>
      <c r="U6" s="621">
        <f>E6+H6+K6+N6+Q6+T6</f>
        <v>0</v>
      </c>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5"/>
      <c r="BD6" s="705"/>
      <c r="BE6" s="705"/>
      <c r="BF6" s="705"/>
      <c r="BG6" s="705"/>
      <c r="BH6" s="705"/>
      <c r="BI6" s="705"/>
    </row>
    <row r="7" spans="2:61" x14ac:dyDescent="0.2">
      <c r="B7" s="109" t="s">
        <v>163</v>
      </c>
      <c r="C7" s="168"/>
      <c r="D7" s="165"/>
      <c r="E7" s="114"/>
      <c r="F7" s="193"/>
      <c r="G7" s="165"/>
      <c r="H7" s="165"/>
      <c r="I7" s="195"/>
      <c r="J7" s="524">
        <f>'2.2 Rysäpyynti'!E24+'2.2 Rysäpyynti'!E34+'2.2 Rysäpyynti'!E26*'2.2 Rysäpyynti'!G26*'2.2 Rysäpyynti'!G6*'11. Työtunnit'!C7</f>
        <v>0</v>
      </c>
      <c r="K7" s="165"/>
      <c r="L7" s="195"/>
      <c r="M7" s="524">
        <f>'2.2 Rysäpyynti'!E125+'2.2 Rysäpyynti'!E135+'2.2 Rysäpyynti'!E127*'2.2 Rysäpyynti'!G127*'2.2 Rysäpyynti'!G107*'11. Työtunnit'!C7</f>
        <v>0</v>
      </c>
      <c r="N7" s="165"/>
      <c r="O7" s="168"/>
      <c r="P7" s="524">
        <f>'2.2 Rysäpyynti'!N21+'2.2 Rysäpyynti'!U21</f>
        <v>0</v>
      </c>
      <c r="Q7" s="114"/>
      <c r="R7" s="168"/>
      <c r="S7" s="524">
        <f>'2.2 Rysäpyynti'!N122+'2.2 Rysäpyynti'!U122</f>
        <v>0</v>
      </c>
      <c r="T7" s="114"/>
      <c r="U7" s="198"/>
      <c r="X7" s="705"/>
      <c r="BI7" s="705"/>
    </row>
    <row r="8" spans="2:61" x14ac:dyDescent="0.2">
      <c r="B8" s="109" t="s">
        <v>162</v>
      </c>
      <c r="C8" s="168"/>
      <c r="D8" s="524">
        <f>'2.1 Verkkopyynti'!E29+'2.1 Verkkopyynti'!E37+'2.1 Verkkopyynti'!E45+'2.1 Verkkopyynti'!L29+'2.1 Verkkopyynti'!L37+'2.1 Verkkopyynti'!L45+'2.1 Verkkopyynti'!S29+'2.1 Verkkopyynti'!S37+'2.1 Verkkopyynti'!S45+'2.1 Verkkopyynti'!Z29+'2.1 Verkkopyynti'!Z37+'2.1 Verkkopyynti'!Z45</f>
        <v>0</v>
      </c>
      <c r="E8" s="114"/>
      <c r="F8" s="193"/>
      <c r="G8" s="524">
        <f>'2.1 Verkkopyynti'!E87+'2.1 Verkkopyynti'!E95+'2.1 Verkkopyynti'!E103+'2.1 Verkkopyynti'!L87+'2.1 Verkkopyynti'!L95+'2.1 Verkkopyynti'!L103+'2.1 Verkkopyynti'!S87+'2.1 Verkkopyynti'!S95+'2.1 Verkkopyynti'!S103+'2.1 Verkkopyynti'!Z87+'2.1 Verkkopyynti'!Z95+'2.1 Verkkopyynti'!Z103</f>
        <v>0</v>
      </c>
      <c r="H8" s="165"/>
      <c r="I8" s="195"/>
      <c r="J8" s="524">
        <f>'2.2 Rysäpyynti'!E84+'2.2 Rysäpyynti'!E76</f>
        <v>0</v>
      </c>
      <c r="K8" s="165"/>
      <c r="L8" s="195"/>
      <c r="M8" s="524">
        <f>'2.2 Rysäpyynti'!E185+'2.2 Rysäpyynti'!E177</f>
        <v>0</v>
      </c>
      <c r="N8" s="165"/>
      <c r="O8" s="168"/>
      <c r="P8" s="524">
        <f>'2.2 Rysäpyynti'!L44+'2.2 Rysäpyynti'!L52+'2.2 Rysäpyynti'!S44+'2.2 Rysäpyynti'!S52+'2.2 Rysäpyynti'!L60+'2.2 Rysäpyynti'!S60</f>
        <v>0</v>
      </c>
      <c r="Q8" s="114"/>
      <c r="R8" s="168"/>
      <c r="S8" s="524">
        <f>'2.2 Rysäpyynti'!L145+'2.2 Rysäpyynti'!L153+'2.2 Rysäpyynti'!S145+'2.2 Rysäpyynti'!S153+'2.2 Rysäpyynti'!L161+'2.2 Rysäpyynti'!S161</f>
        <v>0</v>
      </c>
      <c r="T8" s="114"/>
      <c r="U8" s="198"/>
      <c r="X8" s="705"/>
      <c r="BI8" s="705"/>
    </row>
    <row r="9" spans="2:61" x14ac:dyDescent="0.2">
      <c r="B9" s="109" t="s">
        <v>431</v>
      </c>
      <c r="C9" s="168"/>
      <c r="D9" s="524">
        <f>'2.1 Verkkopyynti'!E50+'2.1 Verkkopyynti'!L50+'2.1 Verkkopyynti'!S50+'2.1 Verkkopyynti'!Z50</f>
        <v>0</v>
      </c>
      <c r="E9" s="114"/>
      <c r="F9" s="193"/>
      <c r="G9" s="524">
        <f>'2.1 Verkkopyynti'!E108+'2.1 Verkkopyynti'!L108+'2.1 Verkkopyynti'!S108+'2.1 Verkkopyynti'!Z108</f>
        <v>0</v>
      </c>
      <c r="H9" s="165"/>
      <c r="I9" s="195"/>
      <c r="J9" s="524">
        <f>'2.2 Rysäpyynti'!E93</f>
        <v>0</v>
      </c>
      <c r="K9" s="165"/>
      <c r="L9" s="195"/>
      <c r="M9" s="524">
        <f>'2.2 Rysäpyynti'!E194</f>
        <v>0</v>
      </c>
      <c r="N9" s="165"/>
      <c r="O9" s="168"/>
      <c r="P9" s="524">
        <f>'2.2 Rysäpyynti'!L65+'2.2 Rysäpyynti'!S65</f>
        <v>0</v>
      </c>
      <c r="Q9" s="114"/>
      <c r="R9" s="168"/>
      <c r="S9" s="524">
        <f>'2.2 Rysäpyynti'!L166+'2.2 Rysäpyynti'!S166</f>
        <v>0</v>
      </c>
      <c r="T9" s="114"/>
      <c r="U9" s="198"/>
      <c r="X9" s="705"/>
      <c r="BI9" s="705"/>
    </row>
    <row r="10" spans="2:61" x14ac:dyDescent="0.2">
      <c r="B10" s="109" t="s">
        <v>233</v>
      </c>
      <c r="C10" s="168"/>
      <c r="D10" s="524">
        <f>'5 Kalan alkukäsittely satamassa'!BI75</f>
        <v>0</v>
      </c>
      <c r="E10" s="114"/>
      <c r="F10" s="193"/>
      <c r="G10" s="524">
        <f>'5 Kalan alkukäsittely satamassa'!BY75</f>
        <v>0</v>
      </c>
      <c r="H10" s="165"/>
      <c r="I10" s="195"/>
      <c r="J10" s="524">
        <f>'5 Kalan alkukäsittely satamassa'!CO75</f>
        <v>0</v>
      </c>
      <c r="K10" s="165"/>
      <c r="L10" s="195"/>
      <c r="M10" s="524">
        <f>'5 Kalan alkukäsittely satamassa'!DE75</f>
        <v>0</v>
      </c>
      <c r="N10" s="165"/>
      <c r="O10" s="168"/>
      <c r="P10" s="524">
        <f>'5 Kalan alkukäsittely satamassa'!DU75</f>
        <v>0</v>
      </c>
      <c r="Q10" s="114"/>
      <c r="R10" s="168"/>
      <c r="S10" s="524">
        <f>'5 Kalan alkukäsittely satamassa'!EK75</f>
        <v>0</v>
      </c>
      <c r="T10" s="114"/>
      <c r="U10" s="198"/>
      <c r="X10" s="705"/>
      <c r="BI10" s="705"/>
    </row>
    <row r="11" spans="2:61" x14ac:dyDescent="0.2">
      <c r="B11" s="109" t="s">
        <v>582</v>
      </c>
      <c r="C11" s="168"/>
      <c r="D11" s="524">
        <f>'2.1 Verkkopyynti'!E58+'2.1 Verkkopyynti'!L58+'2.1 Verkkopyynti'!S58+'2.1 Verkkopyynti'!Z58</f>
        <v>0</v>
      </c>
      <c r="E11" s="114"/>
      <c r="F11" s="193"/>
      <c r="G11" s="524">
        <f>'2.1 Verkkopyynti'!E116+'2.1 Verkkopyynti'!L116+'2.1 Verkkopyynti'!S116+'2.1 Verkkopyynti'!Z116</f>
        <v>0</v>
      </c>
      <c r="H11" s="165"/>
      <c r="I11" s="195"/>
      <c r="J11" s="524">
        <f>'2.2 Rysäpyynti'!E101</f>
        <v>0</v>
      </c>
      <c r="K11" s="165"/>
      <c r="L11" s="195"/>
      <c r="M11" s="524">
        <f>'2.2 Rysäpyynti'!E202</f>
        <v>0</v>
      </c>
      <c r="N11" s="165"/>
      <c r="O11" s="168"/>
      <c r="P11" s="524">
        <f>'2.2 Rysäpyynti'!L73+'2.2 Rysäpyynti'!S73</f>
        <v>0</v>
      </c>
      <c r="Q11" s="114"/>
      <c r="R11" s="168"/>
      <c r="S11" s="524">
        <f>'2.2 Rysäpyynti'!L174+'2.2 Rysäpyynti'!S174</f>
        <v>0</v>
      </c>
      <c r="T11" s="114"/>
      <c r="U11" s="198"/>
      <c r="X11" s="705"/>
      <c r="BI11" s="705"/>
    </row>
    <row r="12" spans="2:61" ht="13.5" thickBot="1" x14ac:dyDescent="0.25">
      <c r="B12" s="187" t="s">
        <v>164</v>
      </c>
      <c r="C12" s="170"/>
      <c r="D12" s="722"/>
      <c r="E12" s="118"/>
      <c r="F12" s="194"/>
      <c r="G12" s="722"/>
      <c r="H12" s="117"/>
      <c r="I12" s="116"/>
      <c r="J12" s="531">
        <f>'2.2 Rysäpyynti'!E46+'2.2 Rysäpyynti'!E51+'2.2 Rysäpyynti'!E54*'2.2 Rysäpyynti'!G54*'2.2 Rysäpyynti'!G6*'11. Työtunnit'!C7</f>
        <v>0</v>
      </c>
      <c r="K12" s="117"/>
      <c r="L12" s="116"/>
      <c r="M12" s="531">
        <f>'2.2 Rysäpyynti'!E147+'2.2 Rysäpyynti'!E152+'2.2 Rysäpyynti'!E155*'2.2 Rysäpyynti'!G155*'2.2 Rysäpyynti'!G107*'11. Työtunnit'!C7</f>
        <v>0</v>
      </c>
      <c r="N12" s="117"/>
      <c r="O12" s="170"/>
      <c r="P12" s="531">
        <f>'2.2 Rysäpyynti'!N28+'2.2 Rysäpyynti'!U28</f>
        <v>0</v>
      </c>
      <c r="Q12" s="118"/>
      <c r="R12" s="170"/>
      <c r="S12" s="531">
        <f>'2.2 Rysäpyynti'!N129+'2.2 Rysäpyynti'!U129</f>
        <v>0</v>
      </c>
      <c r="T12" s="118"/>
      <c r="U12" s="199"/>
      <c r="X12" s="705"/>
      <c r="BI12" s="705"/>
    </row>
    <row r="13" spans="2:61" x14ac:dyDescent="0.2">
      <c r="B13" s="110" t="s">
        <v>420</v>
      </c>
      <c r="C13" s="168"/>
      <c r="D13" s="165"/>
      <c r="E13" s="623">
        <f>D14+D17+D23+D21</f>
        <v>0</v>
      </c>
      <c r="F13" s="193"/>
      <c r="G13" s="165"/>
      <c r="H13" s="622">
        <f>G14+G17+G23+G21</f>
        <v>0</v>
      </c>
      <c r="I13" s="195"/>
      <c r="J13" s="165"/>
      <c r="K13" s="622">
        <f>J14+J17+J23+J21</f>
        <v>0</v>
      </c>
      <c r="L13" s="195"/>
      <c r="M13" s="165"/>
      <c r="N13" s="622">
        <f>M14+M17+M23+M21</f>
        <v>0</v>
      </c>
      <c r="O13" s="168"/>
      <c r="P13" s="165"/>
      <c r="Q13" s="623">
        <f>P14+P17+P23+P21</f>
        <v>0</v>
      </c>
      <c r="R13" s="168"/>
      <c r="S13" s="165"/>
      <c r="T13" s="623">
        <f>S14+S17+S23+S21</f>
        <v>0</v>
      </c>
      <c r="U13" s="624">
        <f>E13+H13+K13+N13+Q13+T13</f>
        <v>0</v>
      </c>
      <c r="X13" s="705"/>
      <c r="BI13" s="705"/>
    </row>
    <row r="14" spans="2:61" x14ac:dyDescent="0.2">
      <c r="B14" s="109" t="s">
        <v>163</v>
      </c>
      <c r="C14" s="168"/>
      <c r="D14" s="165"/>
      <c r="E14" s="114"/>
      <c r="F14" s="193"/>
      <c r="G14" s="165"/>
      <c r="H14" s="165"/>
      <c r="I14" s="195"/>
      <c r="J14" s="524">
        <f>SUM(I15:I16)</f>
        <v>0</v>
      </c>
      <c r="K14" s="165"/>
      <c r="L14" s="195"/>
      <c r="M14" s="524">
        <f>SUM(L15:L16)</f>
        <v>0</v>
      </c>
      <c r="N14" s="165"/>
      <c r="O14" s="168"/>
      <c r="P14" s="524">
        <f>'2.2 Rysäpyynti'!N22+'2.2 Rysäpyynti'!U22</f>
        <v>0</v>
      </c>
      <c r="Q14" s="114"/>
      <c r="R14" s="168"/>
      <c r="S14" s="524">
        <f>'2.2 Rysäpyynti'!N123+'2.2 Rysäpyynti'!U123</f>
        <v>0</v>
      </c>
      <c r="T14" s="114"/>
      <c r="U14" s="198"/>
      <c r="X14" s="705"/>
      <c r="BI14" s="705"/>
    </row>
    <row r="15" spans="2:61" x14ac:dyDescent="0.2">
      <c r="B15" s="778" t="s">
        <v>166</v>
      </c>
      <c r="C15" s="168"/>
      <c r="D15" s="165"/>
      <c r="E15" s="114"/>
      <c r="F15" s="193"/>
      <c r="G15" s="165"/>
      <c r="H15" s="165"/>
      <c r="I15" s="779">
        <f>'2.2 Rysäpyynti'!E22</f>
        <v>0</v>
      </c>
      <c r="J15" s="165"/>
      <c r="K15" s="165"/>
      <c r="L15" s="779">
        <f>'2.2 Rysäpyynti'!E123</f>
        <v>0</v>
      </c>
      <c r="M15" s="165"/>
      <c r="N15" s="165"/>
      <c r="O15" s="168"/>
      <c r="P15" s="165"/>
      <c r="Q15" s="114"/>
      <c r="R15" s="168"/>
      <c r="S15" s="165"/>
      <c r="T15" s="114"/>
      <c r="U15" s="198"/>
      <c r="X15" s="705"/>
      <c r="BI15" s="705"/>
    </row>
    <row r="16" spans="2:61" x14ac:dyDescent="0.2">
      <c r="B16" s="778" t="s">
        <v>167</v>
      </c>
      <c r="C16" s="168"/>
      <c r="D16" s="165"/>
      <c r="E16" s="114"/>
      <c r="F16" s="193"/>
      <c r="G16" s="165"/>
      <c r="H16" s="165"/>
      <c r="I16" s="779">
        <f>'2.2 Rysäpyynti'!E32</f>
        <v>0</v>
      </c>
      <c r="J16" s="165"/>
      <c r="K16" s="165"/>
      <c r="L16" s="779">
        <f>'2.2 Rysäpyynti'!E133</f>
        <v>0</v>
      </c>
      <c r="M16" s="165"/>
      <c r="N16" s="165"/>
      <c r="O16" s="168"/>
      <c r="P16" s="165"/>
      <c r="Q16" s="114"/>
      <c r="R16" s="168"/>
      <c r="S16" s="165"/>
      <c r="T16" s="114"/>
      <c r="U16" s="198"/>
      <c r="X16" s="705"/>
      <c r="BI16" s="705"/>
    </row>
    <row r="17" spans="2:61" x14ac:dyDescent="0.2">
      <c r="B17" s="109" t="s">
        <v>162</v>
      </c>
      <c r="C17" s="168"/>
      <c r="D17" s="524">
        <f>SUM(C18:C20)</f>
        <v>0</v>
      </c>
      <c r="E17" s="114"/>
      <c r="F17" s="193"/>
      <c r="G17" s="524">
        <f>SUM(F18:F20)</f>
        <v>0</v>
      </c>
      <c r="H17" s="165"/>
      <c r="I17" s="780"/>
      <c r="J17" s="524">
        <f>SUM(I18:I19)</f>
        <v>0</v>
      </c>
      <c r="K17" s="165"/>
      <c r="L17" s="780"/>
      <c r="M17" s="524">
        <f>SUM(L18:L19)</f>
        <v>0</v>
      </c>
      <c r="N17" s="165"/>
      <c r="O17" s="168"/>
      <c r="P17" s="524">
        <f>SUM(O18:O20)</f>
        <v>0</v>
      </c>
      <c r="Q17" s="114"/>
      <c r="R17" s="168"/>
      <c r="S17" s="524">
        <f>SUM(R18:R20)</f>
        <v>0</v>
      </c>
      <c r="T17" s="114"/>
      <c r="U17" s="198"/>
      <c r="X17" s="705"/>
      <c r="BI17" s="705"/>
    </row>
    <row r="18" spans="2:61" x14ac:dyDescent="0.2">
      <c r="B18" s="778" t="s">
        <v>166</v>
      </c>
      <c r="C18" s="779">
        <f>'2.1 Verkkopyynti'!E27+'2.1 Verkkopyynti'!L27+'2.1 Verkkopyynti'!S27+'2.1 Verkkopyynti'!Z27</f>
        <v>0</v>
      </c>
      <c r="D18" s="165"/>
      <c r="E18" s="114"/>
      <c r="F18" s="781">
        <f>'2.1 Verkkopyynti'!E85+'2.1 Verkkopyynti'!L85+'2.1 Verkkopyynti'!S85+'2.1 Verkkopyynti'!Z85</f>
        <v>0</v>
      </c>
      <c r="G18" s="165"/>
      <c r="H18" s="165"/>
      <c r="I18" s="779">
        <f>'2.2 Rysäpyynti'!E74</f>
        <v>0</v>
      </c>
      <c r="J18" s="165"/>
      <c r="K18" s="165"/>
      <c r="L18" s="779">
        <f>'2.2 Rysäpyynti'!E175</f>
        <v>0</v>
      </c>
      <c r="M18" s="165"/>
      <c r="N18" s="165"/>
      <c r="O18" s="779">
        <f>'2.2 Rysäpyynti'!S42+'2.2 Rysäpyynti'!L42</f>
        <v>0</v>
      </c>
      <c r="P18" s="165"/>
      <c r="Q18" s="114"/>
      <c r="R18" s="779">
        <f>'2.2 Rysäpyynti'!S143+'2.2 Rysäpyynti'!L143</f>
        <v>0</v>
      </c>
      <c r="S18" s="165"/>
      <c r="T18" s="114"/>
      <c r="U18" s="198"/>
      <c r="V18" s="27"/>
      <c r="X18" s="705"/>
      <c r="BI18" s="705"/>
    </row>
    <row r="19" spans="2:61" x14ac:dyDescent="0.2">
      <c r="B19" s="778" t="s">
        <v>167</v>
      </c>
      <c r="C19" s="779">
        <f>'2.1 Verkkopyynti'!E35+'2.1 Verkkopyynti'!L35+'2.1 Verkkopyynti'!S35+'2.1 Verkkopyynti'!Z35</f>
        <v>0</v>
      </c>
      <c r="D19" s="165"/>
      <c r="E19" s="114"/>
      <c r="F19" s="781">
        <f>'2.1 Verkkopyynti'!E93+'2.1 Verkkopyynti'!L93+'2.1 Verkkopyynti'!S93+'2.1 Verkkopyynti'!Z93</f>
        <v>0</v>
      </c>
      <c r="G19" s="165"/>
      <c r="H19" s="165"/>
      <c r="I19" s="779">
        <f>'2.2 Rysäpyynti'!E82</f>
        <v>0</v>
      </c>
      <c r="J19" s="165"/>
      <c r="K19" s="165"/>
      <c r="L19" s="779">
        <f>'2.2 Rysäpyynti'!E183</f>
        <v>0</v>
      </c>
      <c r="M19" s="165"/>
      <c r="N19" s="165"/>
      <c r="O19" s="779">
        <f>'2.2 Rysäpyynti'!L50+'2.2 Rysäpyynti'!S50</f>
        <v>0</v>
      </c>
      <c r="P19" s="165"/>
      <c r="Q19" s="114"/>
      <c r="R19" s="779">
        <f>'2.2 Rysäpyynti'!L151+'2.2 Rysäpyynti'!S151</f>
        <v>0</v>
      </c>
      <c r="S19" s="165"/>
      <c r="T19" s="114"/>
      <c r="U19" s="198"/>
      <c r="X19" s="705"/>
      <c r="BI19" s="705"/>
    </row>
    <row r="20" spans="2:61" x14ac:dyDescent="0.2">
      <c r="B20" s="778" t="s">
        <v>214</v>
      </c>
      <c r="C20" s="779">
        <f>'2.1 Verkkopyynti'!E43+'2.1 Verkkopyynti'!L43+'2.1 Verkkopyynti'!S43+'2.1 Verkkopyynti'!Z43</f>
        <v>0</v>
      </c>
      <c r="D20" s="165"/>
      <c r="E20" s="114"/>
      <c r="F20" s="781">
        <f>'2.1 Verkkopyynti'!E101+'2.1 Verkkopyynti'!L101+'2.1 Verkkopyynti'!S101+'2.1 Verkkopyynti'!Z101</f>
        <v>0</v>
      </c>
      <c r="G20" s="165"/>
      <c r="H20" s="165"/>
      <c r="I20" s="780"/>
      <c r="J20" s="165"/>
      <c r="K20" s="165"/>
      <c r="L20" s="780"/>
      <c r="M20" s="165"/>
      <c r="N20" s="165"/>
      <c r="O20" s="779">
        <f>'2.2 Rysäpyynti'!L60+'2.2 Rysäpyynti'!S60</f>
        <v>0</v>
      </c>
      <c r="P20" s="165"/>
      <c r="Q20" s="114"/>
      <c r="R20" s="779">
        <f>'2.2 Rysäpyynti'!L161+'2.2 Rysäpyynti'!S161</f>
        <v>0</v>
      </c>
      <c r="S20" s="165"/>
      <c r="T20" s="114"/>
      <c r="U20" s="198"/>
      <c r="X20" s="705"/>
      <c r="BI20" s="705"/>
    </row>
    <row r="21" spans="2:61" x14ac:dyDescent="0.2">
      <c r="B21" s="164" t="s">
        <v>582</v>
      </c>
      <c r="C21" s="780"/>
      <c r="D21" s="524">
        <f>C22</f>
        <v>0</v>
      </c>
      <c r="E21" s="114"/>
      <c r="F21" s="782"/>
      <c r="G21" s="524">
        <f>F22</f>
        <v>0</v>
      </c>
      <c r="H21" s="165"/>
      <c r="I21" s="780"/>
      <c r="J21" s="524">
        <f>I22</f>
        <v>0</v>
      </c>
      <c r="K21" s="165"/>
      <c r="L21" s="780"/>
      <c r="M21" s="524">
        <f>L22</f>
        <v>0</v>
      </c>
      <c r="N21" s="165"/>
      <c r="O21" s="780"/>
      <c r="P21" s="524">
        <f>O22</f>
        <v>0</v>
      </c>
      <c r="Q21" s="114"/>
      <c r="R21" s="780"/>
      <c r="S21" s="524">
        <f>R22</f>
        <v>0</v>
      </c>
      <c r="T21" s="114"/>
      <c r="U21" s="198"/>
      <c r="X21" s="705"/>
      <c r="BI21" s="705"/>
    </row>
    <row r="22" spans="2:61" x14ac:dyDescent="0.2">
      <c r="B22" s="778" t="s">
        <v>166</v>
      </c>
      <c r="C22" s="779">
        <f>'2.1 Verkkopyynti'!E57+'2.1 Verkkopyynti'!L57+'2.1 Verkkopyynti'!S57+'2.1 Verkkopyynti'!Z57</f>
        <v>0</v>
      </c>
      <c r="D22" s="165"/>
      <c r="E22" s="114"/>
      <c r="F22" s="781">
        <f>'2.1 Verkkopyynti'!E115+'2.1 Verkkopyynti'!L115+'2.1 Verkkopyynti'!S115+'2.1 Verkkopyynti'!Z115</f>
        <v>0</v>
      </c>
      <c r="G22" s="165"/>
      <c r="H22" s="165"/>
      <c r="I22" s="779">
        <f>'2.2 Rysäpyynti'!E100</f>
        <v>0</v>
      </c>
      <c r="J22" s="165"/>
      <c r="K22" s="165"/>
      <c r="L22" s="779">
        <f>'2.2 Rysäpyynti'!E201</f>
        <v>0</v>
      </c>
      <c r="M22" s="165"/>
      <c r="N22" s="165"/>
      <c r="O22" s="779">
        <f>'2.2 Rysäpyynti'!L72+'2.2 Rysäpyynti'!S72</f>
        <v>0</v>
      </c>
      <c r="P22" s="165"/>
      <c r="Q22" s="114"/>
      <c r="R22" s="779">
        <f>'2.2 Rysäpyynti'!L173+'2.2 Rysäpyynti'!S173</f>
        <v>0</v>
      </c>
      <c r="S22" s="165"/>
      <c r="T22" s="114"/>
      <c r="U22" s="198"/>
      <c r="X22" s="705"/>
      <c r="BI22" s="705"/>
    </row>
    <row r="23" spans="2:61" x14ac:dyDescent="0.2">
      <c r="B23" s="109" t="s">
        <v>164</v>
      </c>
      <c r="C23" s="168"/>
      <c r="D23" s="165"/>
      <c r="E23" s="114"/>
      <c r="F23" s="193"/>
      <c r="G23" s="165"/>
      <c r="H23" s="165"/>
      <c r="I23" s="780"/>
      <c r="J23" s="524">
        <f>SUM(I24:I25)</f>
        <v>0</v>
      </c>
      <c r="K23" s="165"/>
      <c r="L23" s="780"/>
      <c r="M23" s="524">
        <f>SUM(L24:L25)</f>
        <v>0</v>
      </c>
      <c r="N23" s="165"/>
      <c r="O23" s="780"/>
      <c r="P23" s="524">
        <f>'2.2 Rysäpyynti'!N29+'2.2 Rysäpyynti'!U29</f>
        <v>0</v>
      </c>
      <c r="Q23" s="114"/>
      <c r="R23" s="168"/>
      <c r="S23" s="524">
        <f>'2.2 Rysäpyynti'!N130+'2.2 Rysäpyynti'!U130</f>
        <v>0</v>
      </c>
      <c r="T23" s="114"/>
      <c r="U23" s="198"/>
      <c r="X23" s="705"/>
      <c r="BI23" s="705"/>
    </row>
    <row r="24" spans="2:61" x14ac:dyDescent="0.2">
      <c r="B24" s="778" t="s">
        <v>166</v>
      </c>
      <c r="C24" s="168"/>
      <c r="D24" s="165"/>
      <c r="E24" s="114"/>
      <c r="F24" s="193"/>
      <c r="G24" s="165"/>
      <c r="H24" s="165"/>
      <c r="I24" s="779">
        <f>'2.2 Rysäpyynti'!E44</f>
        <v>0</v>
      </c>
      <c r="J24" s="165"/>
      <c r="K24" s="165"/>
      <c r="L24" s="779">
        <f>'2.2 Rysäpyynti'!E145</f>
        <v>0</v>
      </c>
      <c r="M24" s="165"/>
      <c r="N24" s="165"/>
      <c r="O24" s="780"/>
      <c r="P24" s="165"/>
      <c r="Q24" s="114"/>
      <c r="R24" s="168"/>
      <c r="S24" s="165"/>
      <c r="T24" s="114"/>
      <c r="U24" s="198"/>
      <c r="X24" s="705"/>
      <c r="BI24" s="705"/>
    </row>
    <row r="25" spans="2:61" ht="13.5" thickBot="1" x14ac:dyDescent="0.25">
      <c r="B25" s="778" t="s">
        <v>167</v>
      </c>
      <c r="C25" s="168"/>
      <c r="D25" s="165"/>
      <c r="E25" s="114"/>
      <c r="F25" s="193"/>
      <c r="G25" s="165"/>
      <c r="H25" s="165"/>
      <c r="I25" s="783">
        <f>'2.2 Rysäpyynti'!E52</f>
        <v>0</v>
      </c>
      <c r="J25" s="165"/>
      <c r="K25" s="165"/>
      <c r="L25" s="783">
        <f>'2.2 Rysäpyynti'!E153</f>
        <v>0</v>
      </c>
      <c r="M25" s="165"/>
      <c r="N25" s="165"/>
      <c r="O25" s="780"/>
      <c r="P25" s="165"/>
      <c r="Q25" s="114"/>
      <c r="R25" s="168"/>
      <c r="S25" s="165"/>
      <c r="T25" s="114"/>
      <c r="U25" s="198"/>
      <c r="X25" s="705"/>
      <c r="BI25" s="705"/>
    </row>
    <row r="26" spans="2:61" x14ac:dyDescent="0.2">
      <c r="B26" s="188" t="s">
        <v>421</v>
      </c>
      <c r="C26" s="169"/>
      <c r="D26" s="197"/>
      <c r="E26" s="620">
        <f>C27</f>
        <v>0</v>
      </c>
      <c r="F26" s="192"/>
      <c r="G26" s="197"/>
      <c r="H26" s="620">
        <f>F27</f>
        <v>0</v>
      </c>
      <c r="I26" s="196"/>
      <c r="J26" s="197"/>
      <c r="K26" s="620">
        <f>I27</f>
        <v>0</v>
      </c>
      <c r="L26" s="196"/>
      <c r="M26" s="197"/>
      <c r="N26" s="620">
        <f>L27</f>
        <v>0</v>
      </c>
      <c r="O26" s="169"/>
      <c r="P26" s="197"/>
      <c r="Q26" s="620">
        <f>O27</f>
        <v>0</v>
      </c>
      <c r="R26" s="169"/>
      <c r="S26" s="197"/>
      <c r="T26" s="620">
        <f>R27</f>
        <v>0</v>
      </c>
      <c r="U26" s="621">
        <f>E26+H26+K26+N26+Q26+T26</f>
        <v>0</v>
      </c>
      <c r="X26" s="705"/>
      <c r="BI26" s="705"/>
    </row>
    <row r="27" spans="2:61" ht="15" customHeight="1" x14ac:dyDescent="0.2">
      <c r="B27" s="778" t="s">
        <v>168</v>
      </c>
      <c r="C27" s="530">
        <f>'2.1 Verkkopyynti'!G51+'2.1 Verkkopyynti'!N51+'2.1 Verkkopyynti'!U51+'2.1 Verkkopyynti'!AB51</f>
        <v>0</v>
      </c>
      <c r="D27" s="165"/>
      <c r="E27" s="114"/>
      <c r="F27" s="514">
        <f>'2.1 Verkkopyynti'!G109+'2.1 Verkkopyynti'!N109+'2.1 Verkkopyynti'!U109+'2.1 Verkkopyynti'!AB109</f>
        <v>0</v>
      </c>
      <c r="G27" s="165"/>
      <c r="H27" s="114"/>
      <c r="I27" s="530">
        <f>'2.2 Rysäpyynti'!G94</f>
        <v>0</v>
      </c>
      <c r="J27" s="165"/>
      <c r="K27" s="114"/>
      <c r="L27" s="530">
        <f>'2.2 Rysäpyynti'!G195</f>
        <v>0</v>
      </c>
      <c r="M27" s="165"/>
      <c r="N27" s="114"/>
      <c r="O27" s="530">
        <f>'2.2 Rysäpyynti'!N66+'2.2 Rysäpyynti'!U66</f>
        <v>0</v>
      </c>
      <c r="P27" s="165"/>
      <c r="Q27" s="114"/>
      <c r="R27" s="530">
        <f>'2.2 Rysäpyynti'!N167+'2.2 Rysäpyynti'!U167</f>
        <v>0</v>
      </c>
      <c r="S27" s="165"/>
      <c r="T27" s="114"/>
      <c r="U27" s="198"/>
      <c r="X27" s="705"/>
      <c r="BI27" s="705"/>
    </row>
    <row r="28" spans="2:61" ht="12.75" customHeight="1" thickBot="1" x14ac:dyDescent="0.25">
      <c r="B28" s="189"/>
      <c r="C28" s="168"/>
      <c r="D28" s="117"/>
      <c r="E28" s="118"/>
      <c r="F28" s="168"/>
      <c r="G28" s="117"/>
      <c r="H28" s="118"/>
      <c r="I28" s="168"/>
      <c r="J28" s="117"/>
      <c r="K28" s="118"/>
      <c r="L28" s="168"/>
      <c r="M28" s="117"/>
      <c r="N28" s="118"/>
      <c r="O28" s="168"/>
      <c r="P28" s="117"/>
      <c r="Q28" s="118"/>
      <c r="R28" s="168"/>
      <c r="S28" s="117"/>
      <c r="T28" s="118"/>
      <c r="U28" s="199"/>
      <c r="X28" s="705"/>
      <c r="BI28" s="705"/>
    </row>
    <row r="29" spans="2:61" ht="13.5" thickBot="1" x14ac:dyDescent="0.25">
      <c r="B29" s="111" t="s">
        <v>422</v>
      </c>
      <c r="C29" s="776"/>
      <c r="D29" s="777"/>
      <c r="E29" s="627">
        <f>SUM(E6+E13+E26)</f>
        <v>0</v>
      </c>
      <c r="F29" s="776"/>
      <c r="G29" s="777"/>
      <c r="H29" s="625">
        <f>SUM(H6+H13+H26)</f>
        <v>0</v>
      </c>
      <c r="I29" s="776"/>
      <c r="J29" s="777"/>
      <c r="K29" s="625">
        <f>SUM(K6+K13+K26)</f>
        <v>0</v>
      </c>
      <c r="L29" s="776"/>
      <c r="M29" s="777"/>
      <c r="N29" s="625">
        <f>SUM(N6+N13+N26)</f>
        <v>0</v>
      </c>
      <c r="O29" s="776"/>
      <c r="P29" s="777"/>
      <c r="Q29" s="627">
        <f>SUM(Q6+Q13+Q26)</f>
        <v>0</v>
      </c>
      <c r="R29" s="776"/>
      <c r="S29" s="777"/>
      <c r="T29" s="627">
        <f>SUM(T6+T13+T26)</f>
        <v>0</v>
      </c>
      <c r="U29" s="626">
        <f>E29+H29+K29+N29+Q29+T29</f>
        <v>0</v>
      </c>
      <c r="X29" s="705"/>
      <c r="BI29" s="705"/>
    </row>
    <row r="30" spans="2:61" ht="13.5" thickBot="1" x14ac:dyDescent="0.25">
      <c r="X30" s="705"/>
      <c r="BI30" s="705"/>
    </row>
    <row r="31" spans="2:61" ht="21" customHeight="1" thickBot="1" x14ac:dyDescent="0.25">
      <c r="B31" s="8" t="s">
        <v>519</v>
      </c>
      <c r="C31" s="1381" t="s">
        <v>218</v>
      </c>
      <c r="D31" s="1148" t="str">
        <f>D4</f>
        <v>Verkko1</v>
      </c>
      <c r="E31" s="1149" t="str">
        <f>G4</f>
        <v>Verkko2</v>
      </c>
      <c r="F31" s="1149" t="str">
        <f>J4</f>
        <v>Isorysä1</v>
      </c>
      <c r="G31" s="1149" t="str">
        <f>M4</f>
        <v>Isorysä2</v>
      </c>
      <c r="H31" s="1149" t="str">
        <f>P4</f>
        <v>PU-rysä1</v>
      </c>
      <c r="I31" s="1150" t="str">
        <f>S4</f>
        <v>PU-rysä2</v>
      </c>
      <c r="X31" s="705"/>
      <c r="BI31" s="705"/>
    </row>
    <row r="32" spans="2:61" x14ac:dyDescent="0.2">
      <c r="B32" s="3" t="s">
        <v>419</v>
      </c>
      <c r="C32" s="449">
        <f>SUM(D32:I32)</f>
        <v>0</v>
      </c>
      <c r="D32" s="519">
        <f>E6</f>
        <v>0</v>
      </c>
      <c r="E32" s="500">
        <f>H6</f>
        <v>0</v>
      </c>
      <c r="F32" s="500">
        <f>K6</f>
        <v>0</v>
      </c>
      <c r="G32" s="500">
        <f>N6</f>
        <v>0</v>
      </c>
      <c r="H32" s="500">
        <f>Q6</f>
        <v>0</v>
      </c>
      <c r="I32" s="529">
        <f>T6</f>
        <v>0</v>
      </c>
      <c r="X32" s="705"/>
      <c r="BI32" s="705"/>
    </row>
    <row r="33" spans="2:61" x14ac:dyDescent="0.2">
      <c r="B33" s="3" t="s">
        <v>420</v>
      </c>
      <c r="C33" s="450">
        <f>SUM(D33:I33)</f>
        <v>0</v>
      </c>
      <c r="D33" s="501">
        <f>E13</f>
        <v>0</v>
      </c>
      <c r="E33" s="524">
        <f>H13</f>
        <v>0</v>
      </c>
      <c r="F33" s="524">
        <f>K13</f>
        <v>0</v>
      </c>
      <c r="G33" s="524">
        <f>N13</f>
        <v>0</v>
      </c>
      <c r="H33" s="524">
        <f>Q13</f>
        <v>0</v>
      </c>
      <c r="I33" s="525">
        <f>T13</f>
        <v>0</v>
      </c>
      <c r="X33" s="705"/>
      <c r="BI33" s="705"/>
    </row>
    <row r="34" spans="2:61" ht="13.5" thickBot="1" x14ac:dyDescent="0.25">
      <c r="B34" s="7" t="s">
        <v>421</v>
      </c>
      <c r="C34" s="451">
        <f>SUM(D34:I34)</f>
        <v>0</v>
      </c>
      <c r="D34" s="515">
        <f>E26</f>
        <v>0</v>
      </c>
      <c r="E34" s="531">
        <f>H26</f>
        <v>0</v>
      </c>
      <c r="F34" s="531">
        <f>K26</f>
        <v>0</v>
      </c>
      <c r="G34" s="531">
        <f>N26</f>
        <v>0</v>
      </c>
      <c r="H34" s="531">
        <f>Q26</f>
        <v>0</v>
      </c>
      <c r="I34" s="532">
        <f>T26</f>
        <v>0</v>
      </c>
      <c r="X34" s="705"/>
      <c r="BI34" s="705"/>
    </row>
    <row r="35" spans="2:61" ht="13.5" thickBot="1" x14ac:dyDescent="0.25">
      <c r="F35" s="106"/>
      <c r="X35" s="705"/>
      <c r="BI35" s="705"/>
    </row>
    <row r="36" spans="2:61" x14ac:dyDescent="0.2">
      <c r="B36" s="5" t="s">
        <v>520</v>
      </c>
      <c r="C36" s="1638" t="s">
        <v>218</v>
      </c>
      <c r="D36" s="1638" t="str">
        <f t="shared" ref="D36:I36" si="0">D31</f>
        <v>Verkko1</v>
      </c>
      <c r="E36" s="1640" t="str">
        <f t="shared" si="0"/>
        <v>Verkko2</v>
      </c>
      <c r="F36" s="1640" t="str">
        <f t="shared" si="0"/>
        <v>Isorysä1</v>
      </c>
      <c r="G36" s="1640" t="str">
        <f t="shared" si="0"/>
        <v>Isorysä2</v>
      </c>
      <c r="H36" s="1640" t="str">
        <f t="shared" si="0"/>
        <v>PU-rysä1</v>
      </c>
      <c r="I36" s="1636" t="str">
        <f t="shared" si="0"/>
        <v>PU-rysä2</v>
      </c>
      <c r="X36" s="705"/>
      <c r="BI36" s="705"/>
    </row>
    <row r="37" spans="2:61" ht="8.25" customHeight="1" thickBot="1" x14ac:dyDescent="0.25">
      <c r="B37" s="40"/>
      <c r="C37" s="1639"/>
      <c r="D37" s="1642"/>
      <c r="E37" s="1641"/>
      <c r="F37" s="1641"/>
      <c r="G37" s="1641"/>
      <c r="H37" s="1641"/>
      <c r="I37" s="1637"/>
      <c r="X37" s="705"/>
      <c r="BI37" s="705"/>
    </row>
    <row r="38" spans="2:61" x14ac:dyDescent="0.2">
      <c r="B38" s="1203" t="s">
        <v>163</v>
      </c>
      <c r="C38" s="449">
        <f>SUM(D38:I38)</f>
        <v>0</v>
      </c>
      <c r="D38" s="595"/>
      <c r="E38" s="500"/>
      <c r="F38" s="500">
        <f>J7+J14</f>
        <v>0</v>
      </c>
      <c r="G38" s="500">
        <f>M7+M14</f>
        <v>0</v>
      </c>
      <c r="H38" s="500">
        <f>P7+P14</f>
        <v>0</v>
      </c>
      <c r="I38" s="529">
        <f>S7+S14</f>
        <v>0</v>
      </c>
      <c r="X38" s="705"/>
      <c r="BI38" s="705"/>
    </row>
    <row r="39" spans="2:61" x14ac:dyDescent="0.2">
      <c r="B39" s="12" t="s">
        <v>267</v>
      </c>
      <c r="C39" s="450">
        <f t="shared" ref="C39:C41" si="1">SUM(D39:I39)</f>
        <v>0</v>
      </c>
      <c r="D39" s="504">
        <f>D8+D17</f>
        <v>0</v>
      </c>
      <c r="E39" s="524">
        <f>G8+G17</f>
        <v>0</v>
      </c>
      <c r="F39" s="524">
        <f>J8+J17</f>
        <v>0</v>
      </c>
      <c r="G39" s="524">
        <f>M8+M17</f>
        <v>0</v>
      </c>
      <c r="H39" s="524">
        <f>P8+P17</f>
        <v>0</v>
      </c>
      <c r="I39" s="525">
        <f>S8+S17</f>
        <v>0</v>
      </c>
      <c r="X39" s="705"/>
      <c r="BI39" s="705"/>
    </row>
    <row r="40" spans="2:61" x14ac:dyDescent="0.2">
      <c r="B40" s="3" t="s">
        <v>234</v>
      </c>
      <c r="C40" s="450">
        <f t="shared" si="1"/>
        <v>0</v>
      </c>
      <c r="D40" s="504">
        <f>D9+D10+D11+D21+C27</f>
        <v>0</v>
      </c>
      <c r="E40" s="524">
        <f>G9+G10+G11+G21+F27</f>
        <v>0</v>
      </c>
      <c r="F40" s="524">
        <f>J9+J10+J11+J21+I27</f>
        <v>0</v>
      </c>
      <c r="G40" s="524">
        <f>M9+M10+M11+M21+L27</f>
        <v>0</v>
      </c>
      <c r="H40" s="524">
        <f>P9+P10+P11+P21+O27</f>
        <v>0</v>
      </c>
      <c r="I40" s="525">
        <f>S9+S10+S11+S21+R27</f>
        <v>0</v>
      </c>
      <c r="X40" s="705"/>
      <c r="BI40" s="705"/>
    </row>
    <row r="41" spans="2:61" ht="13.5" thickBot="1" x14ac:dyDescent="0.25">
      <c r="B41" s="22" t="s">
        <v>164</v>
      </c>
      <c r="C41" s="451">
        <f t="shared" si="1"/>
        <v>0</v>
      </c>
      <c r="D41" s="596"/>
      <c r="E41" s="531"/>
      <c r="F41" s="531">
        <f>J12+J23</f>
        <v>0</v>
      </c>
      <c r="G41" s="531">
        <f>M12+M23</f>
        <v>0</v>
      </c>
      <c r="H41" s="531">
        <f>P12+P23</f>
        <v>0</v>
      </c>
      <c r="I41" s="532">
        <f>S12+S23</f>
        <v>0</v>
      </c>
      <c r="X41" s="705"/>
      <c r="BI41" s="705"/>
    </row>
    <row r="42" spans="2:61" x14ac:dyDescent="0.2">
      <c r="X42" s="705"/>
      <c r="BI42" s="705"/>
    </row>
    <row r="43" spans="2:61" x14ac:dyDescent="0.2">
      <c r="X43" s="705"/>
      <c r="BI43" s="705"/>
    </row>
    <row r="44" spans="2:61" x14ac:dyDescent="0.2">
      <c r="X44" s="705"/>
      <c r="BI44" s="705"/>
    </row>
    <row r="45" spans="2:61" x14ac:dyDescent="0.2">
      <c r="X45" s="705"/>
      <c r="BI45" s="705"/>
    </row>
    <row r="46" spans="2:61" x14ac:dyDescent="0.2">
      <c r="X46" s="705"/>
      <c r="BI46" s="705"/>
    </row>
    <row r="47" spans="2:61" x14ac:dyDescent="0.2">
      <c r="X47" s="705"/>
      <c r="BI47" s="705"/>
    </row>
    <row r="48" spans="2:61" x14ac:dyDescent="0.2">
      <c r="X48" s="705"/>
      <c r="BI48" s="705"/>
    </row>
    <row r="49" spans="2:61" x14ac:dyDescent="0.2">
      <c r="X49" s="705"/>
      <c r="BI49" s="705"/>
    </row>
    <row r="50" spans="2:61" x14ac:dyDescent="0.2">
      <c r="X50" s="705"/>
      <c r="BI50" s="705"/>
    </row>
    <row r="51" spans="2:61" x14ac:dyDescent="0.2">
      <c r="X51" s="705"/>
      <c r="BI51" s="705"/>
    </row>
    <row r="52" spans="2:61" x14ac:dyDescent="0.2">
      <c r="B52" t="s">
        <v>1</v>
      </c>
      <c r="X52" s="705"/>
      <c r="BI52" s="705"/>
    </row>
    <row r="53" spans="2:61" x14ac:dyDescent="0.2">
      <c r="B53" t="s">
        <v>1</v>
      </c>
      <c r="X53" s="705"/>
      <c r="BI53" s="705"/>
    </row>
    <row r="54" spans="2:61" x14ac:dyDescent="0.2">
      <c r="X54" s="705"/>
      <c r="BI54" s="705"/>
    </row>
    <row r="55" spans="2:61" x14ac:dyDescent="0.2">
      <c r="X55" s="705"/>
      <c r="BI55" s="705"/>
    </row>
    <row r="56" spans="2:61" x14ac:dyDescent="0.2">
      <c r="X56" s="705"/>
      <c r="BI56" s="705"/>
    </row>
    <row r="57" spans="2:61" x14ac:dyDescent="0.2">
      <c r="X57" s="705"/>
      <c r="BI57" s="705"/>
    </row>
    <row r="58" spans="2:61" x14ac:dyDescent="0.2">
      <c r="X58" s="705"/>
      <c r="BI58" s="705"/>
    </row>
    <row r="59" spans="2:61" x14ac:dyDescent="0.2">
      <c r="S59" s="34" t="s">
        <v>1</v>
      </c>
      <c r="X59" s="705"/>
      <c r="BI59" s="705"/>
    </row>
    <row r="60" spans="2:61" x14ac:dyDescent="0.2">
      <c r="X60" s="705"/>
      <c r="BI60" s="705"/>
    </row>
    <row r="61" spans="2:61" x14ac:dyDescent="0.2">
      <c r="X61" s="705"/>
      <c r="BI61" s="705"/>
    </row>
    <row r="62" spans="2:61" x14ac:dyDescent="0.2">
      <c r="X62" s="705"/>
      <c r="BI62" s="705"/>
    </row>
    <row r="63" spans="2:61" x14ac:dyDescent="0.2">
      <c r="X63" s="705"/>
      <c r="BI63" s="705"/>
    </row>
    <row r="64" spans="2:61" x14ac:dyDescent="0.2">
      <c r="X64" s="705"/>
      <c r="BI64" s="705"/>
    </row>
    <row r="65" spans="3:61" x14ac:dyDescent="0.2">
      <c r="X65" s="705"/>
      <c r="BI65" s="705"/>
    </row>
    <row r="66" spans="3:61" x14ac:dyDescent="0.2">
      <c r="X66" s="705"/>
      <c r="BI66" s="705"/>
    </row>
    <row r="67" spans="3:61" x14ac:dyDescent="0.2">
      <c r="X67" s="705"/>
      <c r="BI67" s="705"/>
    </row>
    <row r="68" spans="3:61" ht="15.75" customHeight="1" x14ac:dyDescent="0.2">
      <c r="C68"/>
      <c r="D68"/>
      <c r="E68"/>
      <c r="F68"/>
      <c r="G68"/>
      <c r="H68"/>
      <c r="I68"/>
      <c r="J68"/>
      <c r="K68"/>
      <c r="L68"/>
      <c r="M68"/>
      <c r="N68"/>
      <c r="O68"/>
      <c r="P68"/>
      <c r="Q68"/>
      <c r="R68"/>
      <c r="S68"/>
      <c r="T68"/>
      <c r="U68"/>
      <c r="X68" s="705"/>
      <c r="BI68" s="705"/>
    </row>
    <row r="69" spans="3:61" x14ac:dyDescent="0.2">
      <c r="C69"/>
      <c r="D69"/>
      <c r="E69"/>
      <c r="F69"/>
      <c r="G69"/>
      <c r="H69"/>
      <c r="I69"/>
      <c r="J69"/>
      <c r="K69"/>
      <c r="L69"/>
      <c r="M69"/>
      <c r="N69"/>
      <c r="O69"/>
      <c r="P69"/>
      <c r="Q69"/>
      <c r="R69"/>
      <c r="S69"/>
      <c r="T69"/>
      <c r="U69"/>
      <c r="X69" s="705"/>
      <c r="BI69" s="705"/>
    </row>
    <row r="70" spans="3:61" x14ac:dyDescent="0.2">
      <c r="C70"/>
      <c r="D70"/>
      <c r="E70"/>
      <c r="F70"/>
      <c r="G70"/>
      <c r="H70"/>
      <c r="I70"/>
      <c r="J70"/>
      <c r="K70"/>
      <c r="L70"/>
      <c r="M70"/>
      <c r="N70"/>
      <c r="O70"/>
      <c r="P70"/>
      <c r="Q70"/>
      <c r="R70"/>
      <c r="S70"/>
      <c r="T70"/>
      <c r="U70"/>
      <c r="X70" s="705"/>
      <c r="Y70" s="705"/>
      <c r="Z70" s="705"/>
      <c r="AA70" s="705"/>
      <c r="AB70" s="705"/>
      <c r="AC70" s="705"/>
      <c r="AD70" s="705"/>
      <c r="AE70" s="705"/>
      <c r="AF70" s="705"/>
      <c r="AG70" s="705"/>
      <c r="AH70" s="705"/>
      <c r="AI70" s="705"/>
      <c r="AJ70" s="705"/>
      <c r="AK70" s="705"/>
      <c r="AL70" s="705"/>
      <c r="AM70" s="705"/>
      <c r="AN70" s="705"/>
      <c r="AO70" s="705"/>
      <c r="AP70" s="705"/>
      <c r="AQ70" s="705"/>
      <c r="AR70" s="705"/>
      <c r="AS70" s="705"/>
      <c r="AT70" s="705"/>
      <c r="AU70" s="705"/>
      <c r="AV70" s="705"/>
      <c r="AW70" s="705"/>
      <c r="AX70" s="705"/>
      <c r="AY70" s="705"/>
      <c r="AZ70" s="705"/>
      <c r="BA70" s="705"/>
      <c r="BB70" s="705"/>
      <c r="BC70" s="705"/>
      <c r="BD70" s="705"/>
      <c r="BE70" s="705"/>
      <c r="BF70" s="705"/>
      <c r="BG70" s="705"/>
      <c r="BH70" s="705"/>
      <c r="BI70" s="705"/>
    </row>
    <row r="71" spans="3:61" ht="18" x14ac:dyDescent="0.25">
      <c r="C71"/>
      <c r="D71"/>
      <c r="E71"/>
      <c r="F71"/>
      <c r="G71"/>
      <c r="H71"/>
      <c r="I71"/>
      <c r="J71"/>
      <c r="K71"/>
      <c r="L71"/>
      <c r="M71"/>
      <c r="N71"/>
      <c r="O71"/>
      <c r="P71"/>
      <c r="Q71"/>
      <c r="R71"/>
      <c r="S71"/>
      <c r="T71"/>
      <c r="U71"/>
      <c r="X71" s="705"/>
      <c r="Y71" s="705"/>
      <c r="Z71" s="710" t="str">
        <f>D36</f>
        <v>Verkko1</v>
      </c>
      <c r="AA71" s="748"/>
      <c r="AB71" s="748"/>
      <c r="AC71" s="748"/>
      <c r="AD71" s="748"/>
      <c r="AE71" s="748"/>
      <c r="AF71" s="710" t="str">
        <f>E31</f>
        <v>Verkko2</v>
      </c>
      <c r="AG71" s="748"/>
      <c r="AH71" s="748"/>
      <c r="AI71" s="748"/>
      <c r="AJ71" s="748"/>
      <c r="AK71" s="748"/>
      <c r="AL71" s="710" t="str">
        <f>F36</f>
        <v>Isorysä1</v>
      </c>
      <c r="AM71" s="748"/>
      <c r="AN71" s="748"/>
      <c r="AO71" s="748"/>
      <c r="AP71" s="748"/>
      <c r="AQ71" s="748"/>
      <c r="AR71" s="710" t="str">
        <f>G36</f>
        <v>Isorysä2</v>
      </c>
      <c r="AS71" s="748"/>
      <c r="AT71" s="748"/>
      <c r="AU71" s="748"/>
      <c r="AV71" s="748"/>
      <c r="AW71" s="748"/>
      <c r="AX71" s="748"/>
      <c r="AY71" s="710" t="str">
        <f>H36</f>
        <v>PU-rysä1</v>
      </c>
      <c r="AZ71" s="748"/>
      <c r="BA71" s="748"/>
      <c r="BB71" s="748"/>
      <c r="BC71" s="748"/>
      <c r="BD71" s="748"/>
      <c r="BE71" s="710" t="str">
        <f>I36</f>
        <v>PU-rysä2</v>
      </c>
      <c r="BF71" s="748"/>
      <c r="BG71" s="748"/>
      <c r="BH71" s="705"/>
      <c r="BI71" s="705"/>
    </row>
    <row r="72" spans="3:61" ht="18" x14ac:dyDescent="0.25">
      <c r="C72"/>
      <c r="D72"/>
      <c r="E72"/>
      <c r="F72"/>
      <c r="G72"/>
      <c r="H72"/>
      <c r="I72"/>
      <c r="J72"/>
      <c r="K72"/>
      <c r="L72"/>
      <c r="M72"/>
      <c r="N72"/>
      <c r="O72"/>
      <c r="P72"/>
      <c r="Q72"/>
      <c r="R72"/>
      <c r="S72"/>
      <c r="T72"/>
      <c r="U72"/>
      <c r="X72" s="705"/>
      <c r="Y72" s="705"/>
      <c r="Z72" s="748"/>
      <c r="AA72" s="748"/>
      <c r="AB72" s="748"/>
      <c r="AC72" s="748"/>
      <c r="AD72" s="748"/>
      <c r="AE72" s="748"/>
      <c r="AF72" s="748"/>
      <c r="AG72" s="748"/>
      <c r="AH72" s="748"/>
      <c r="AI72" s="748"/>
      <c r="AJ72" s="748"/>
      <c r="AK72" s="748"/>
      <c r="AL72" s="748"/>
      <c r="AM72" s="748"/>
      <c r="AN72" s="748"/>
      <c r="AO72" s="748"/>
      <c r="AP72" s="748"/>
      <c r="AQ72" s="748"/>
      <c r="AR72" s="748"/>
      <c r="AS72" s="748"/>
      <c r="AT72" s="748"/>
      <c r="AU72" s="748"/>
      <c r="AV72" s="748"/>
      <c r="AW72" s="748"/>
      <c r="AX72" s="748"/>
      <c r="AY72" s="748"/>
      <c r="AZ72" s="748"/>
      <c r="BA72" s="748"/>
      <c r="BB72" s="748"/>
      <c r="BC72" s="748"/>
      <c r="BD72" s="748"/>
      <c r="BE72" s="748"/>
      <c r="BF72" s="748"/>
      <c r="BG72" s="748"/>
      <c r="BH72" s="705"/>
      <c r="BI72" s="705"/>
    </row>
    <row r="73" spans="3:61" x14ac:dyDescent="0.2">
      <c r="C73"/>
      <c r="D73"/>
      <c r="E73"/>
      <c r="F73"/>
      <c r="G73"/>
      <c r="H73"/>
      <c r="I73"/>
      <c r="J73"/>
      <c r="K73"/>
      <c r="L73"/>
      <c r="M73"/>
      <c r="N73"/>
      <c r="O73"/>
      <c r="P73"/>
      <c r="Q73"/>
      <c r="R73"/>
      <c r="S73"/>
      <c r="T73"/>
      <c r="U73"/>
      <c r="AV73" t="s">
        <v>1</v>
      </c>
    </row>
    <row r="74" spans="3:61" x14ac:dyDescent="0.2">
      <c r="C74"/>
      <c r="D74"/>
      <c r="E74"/>
      <c r="F74"/>
      <c r="G74"/>
      <c r="H74"/>
      <c r="I74"/>
      <c r="J74"/>
      <c r="K74"/>
      <c r="L74"/>
      <c r="M74"/>
      <c r="N74"/>
      <c r="O74"/>
      <c r="P74"/>
      <c r="Q74"/>
      <c r="R74"/>
      <c r="S74"/>
      <c r="T74"/>
      <c r="U74"/>
    </row>
    <row r="75" spans="3:61" x14ac:dyDescent="0.2">
      <c r="C75"/>
      <c r="D75"/>
      <c r="E75"/>
      <c r="F75"/>
      <c r="G75"/>
      <c r="H75"/>
      <c r="I75"/>
      <c r="J75"/>
      <c r="K75"/>
      <c r="L75"/>
      <c r="M75"/>
      <c r="N75"/>
      <c r="O75"/>
      <c r="P75"/>
      <c r="Q75"/>
      <c r="R75"/>
      <c r="S75"/>
      <c r="T75"/>
      <c r="U75"/>
    </row>
    <row r="76" spans="3:61" x14ac:dyDescent="0.2">
      <c r="C76"/>
      <c r="D76"/>
      <c r="E76"/>
      <c r="F76"/>
      <c r="G76"/>
      <c r="H76"/>
      <c r="I76"/>
      <c r="J76"/>
      <c r="K76"/>
      <c r="L76"/>
      <c r="M76"/>
      <c r="N76"/>
      <c r="O76"/>
      <c r="P76"/>
      <c r="Q76"/>
      <c r="R76"/>
      <c r="S76"/>
      <c r="T76"/>
      <c r="U76"/>
    </row>
    <row r="77" spans="3:61" x14ac:dyDescent="0.2">
      <c r="C77"/>
      <c r="D77"/>
      <c r="E77"/>
      <c r="F77"/>
      <c r="G77"/>
      <c r="H77"/>
      <c r="I77"/>
      <c r="J77"/>
      <c r="K77"/>
      <c r="L77"/>
      <c r="M77"/>
      <c r="N77"/>
      <c r="O77"/>
      <c r="P77"/>
      <c r="Q77"/>
      <c r="R77"/>
      <c r="S77"/>
      <c r="T77"/>
      <c r="U77"/>
      <c r="AN77" t="s">
        <v>1</v>
      </c>
    </row>
    <row r="78" spans="3:61" x14ac:dyDescent="0.2">
      <c r="C78"/>
      <c r="D78"/>
      <c r="E78"/>
      <c r="F78"/>
      <c r="G78"/>
      <c r="H78"/>
      <c r="I78"/>
      <c r="J78"/>
      <c r="K78"/>
      <c r="L78"/>
      <c r="M78"/>
      <c r="N78"/>
      <c r="O78"/>
      <c r="P78"/>
      <c r="Q78"/>
      <c r="R78"/>
      <c r="S78"/>
      <c r="T78"/>
      <c r="U78"/>
    </row>
    <row r="79" spans="3:61" x14ac:dyDescent="0.2">
      <c r="C79"/>
      <c r="D79"/>
      <c r="E79"/>
      <c r="F79"/>
      <c r="G79"/>
      <c r="H79"/>
      <c r="I79"/>
      <c r="J79"/>
      <c r="K79"/>
      <c r="L79"/>
      <c r="M79"/>
      <c r="N79"/>
      <c r="O79"/>
      <c r="P79"/>
      <c r="Q79"/>
      <c r="R79"/>
      <c r="S79"/>
      <c r="T79"/>
      <c r="U79"/>
    </row>
    <row r="80" spans="3:61" x14ac:dyDescent="0.2">
      <c r="C80"/>
      <c r="D80"/>
      <c r="E80"/>
      <c r="F80"/>
      <c r="G80"/>
      <c r="H80"/>
      <c r="I80"/>
      <c r="J80"/>
      <c r="K80"/>
      <c r="L80"/>
      <c r="M80"/>
      <c r="N80"/>
      <c r="O80"/>
      <c r="P80"/>
      <c r="Q80"/>
      <c r="R80"/>
      <c r="S80"/>
      <c r="T80"/>
      <c r="U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sheetData>
  <sheetProtection password="C576" sheet="1" objects="1" scenarios="1"/>
  <mergeCells count="7">
    <mergeCell ref="I36:I37"/>
    <mergeCell ref="C36:C37"/>
    <mergeCell ref="H36:H37"/>
    <mergeCell ref="D36:D37"/>
    <mergeCell ref="E36:E37"/>
    <mergeCell ref="F36:F37"/>
    <mergeCell ref="G36:G37"/>
  </mergeCells>
  <phoneticPr fontId="16" type="noConversion"/>
  <pageMargins left="0.74803149606299213" right="0.74803149606299213" top="0.98425196850393704" bottom="0.98425196850393704" header="0.51181102362204722" footer="0.51181102362204722"/>
  <pageSetup paperSize="9" scale="49" orientation="landscape" r:id="rId1"/>
  <headerFooter alignWithMargins="0"/>
  <drawing r:id="rId2"/>
  <picture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V100"/>
  <sheetViews>
    <sheetView showGridLines="0" zoomScale="93" zoomScaleNormal="93" zoomScaleSheetLayoutView="41" workbookViewId="0">
      <selection activeCell="C30" sqref="C30"/>
    </sheetView>
  </sheetViews>
  <sheetFormatPr defaultRowHeight="12.75" x14ac:dyDescent="0.2"/>
  <cols>
    <col min="1" max="1" width="4.140625" customWidth="1"/>
    <col min="2" max="2" width="65.85546875" bestFit="1" customWidth="1"/>
    <col min="3" max="3" width="18.85546875" customWidth="1"/>
    <col min="4" max="9" width="15.7109375" customWidth="1"/>
    <col min="10" max="10" width="13.85546875" customWidth="1"/>
    <col min="11" max="11" width="4.42578125" customWidth="1"/>
    <col min="12" max="12" width="65.28515625" customWidth="1"/>
    <col min="13" max="14" width="16.140625" customWidth="1"/>
    <col min="15" max="17" width="15.7109375" customWidth="1"/>
    <col min="18" max="18" width="16.5703125" customWidth="1"/>
    <col min="19" max="19" width="12.85546875" customWidth="1"/>
    <col min="20" max="20" width="13.85546875" customWidth="1"/>
    <col min="21" max="21" width="41.140625" customWidth="1"/>
    <col min="22" max="28" width="13.42578125" customWidth="1"/>
    <col min="29" max="29" width="4.85546875" customWidth="1"/>
    <col min="35" max="35" width="11.42578125" customWidth="1"/>
    <col min="43" max="43" width="10.85546875" customWidth="1"/>
    <col min="44" max="44" width="1.5703125" customWidth="1"/>
    <col min="46" max="46" width="6.42578125" customWidth="1"/>
    <col min="47" max="47" width="4.140625" customWidth="1"/>
  </cols>
  <sheetData>
    <row r="1" spans="2:47" ht="9" customHeight="1" thickBot="1" x14ac:dyDescent="0.25">
      <c r="O1" s="292" t="s">
        <v>1</v>
      </c>
      <c r="P1" s="292"/>
    </row>
    <row r="2" spans="2:47" ht="31.5" customHeight="1" thickBot="1" x14ac:dyDescent="0.35">
      <c r="B2" s="90" t="s">
        <v>411</v>
      </c>
      <c r="AD2" s="708"/>
      <c r="AE2" s="708"/>
      <c r="AF2" s="708" t="str">
        <f>V5</f>
        <v>Verkko1</v>
      </c>
      <c r="AG2" s="708"/>
      <c r="AH2" s="708"/>
      <c r="AI2" s="708"/>
      <c r="AJ2" s="708"/>
      <c r="AK2" s="708"/>
      <c r="AL2" s="708"/>
      <c r="AM2" s="708"/>
      <c r="AN2" s="708" t="str">
        <f>W5</f>
        <v>Verkko2</v>
      </c>
      <c r="AO2" s="708"/>
      <c r="AP2" s="708"/>
      <c r="AQ2" s="708"/>
      <c r="AR2" s="708"/>
      <c r="AS2" s="708"/>
      <c r="AT2" s="708"/>
      <c r="AU2" s="705"/>
    </row>
    <row r="3" spans="2:47" ht="24.75" customHeight="1" thickBot="1" x14ac:dyDescent="0.3">
      <c r="M3" s="1643" t="s">
        <v>443</v>
      </c>
      <c r="N3" s="1644"/>
      <c r="O3" s="1644"/>
      <c r="P3" s="1644"/>
      <c r="Q3" s="1644"/>
      <c r="R3" s="1644"/>
      <c r="S3" s="1645"/>
      <c r="AD3" s="708"/>
      <c r="AE3" s="708"/>
      <c r="AF3" s="708"/>
      <c r="AG3" s="708"/>
      <c r="AH3" s="708"/>
      <c r="AI3" s="708"/>
      <c r="AJ3" s="708"/>
      <c r="AK3" s="708"/>
      <c r="AL3" s="708"/>
      <c r="AM3" s="708"/>
      <c r="AN3" s="708"/>
      <c r="AO3" s="708"/>
      <c r="AP3" s="708"/>
      <c r="AQ3" s="708"/>
      <c r="AR3" s="708"/>
      <c r="AS3" s="708"/>
      <c r="AT3" s="708"/>
      <c r="AU3" s="705"/>
    </row>
    <row r="4" spans="2:47" ht="18.75" thickBot="1" x14ac:dyDescent="0.3">
      <c r="M4" s="795">
        <f>IF('4 Myynti'!CL19=0,0,'4 Myynti'!CL42/'4 Myynti'!CL19)</f>
        <v>0</v>
      </c>
      <c r="N4" s="795">
        <f>IF('4 Myynti'!CL19=0,0,'4 Myynti'!CL65/'4 Myynti'!CL19)</f>
        <v>0</v>
      </c>
      <c r="O4" s="795">
        <f>IF('4 Myynti'!CL19=0,0,'4 Myynti'!CL88/'4 Myynti'!CL19)</f>
        <v>0</v>
      </c>
      <c r="P4" s="795">
        <f>IF('4 Myynti'!CL19=0,0,'4 Myynti'!CL111/'4 Myynti'!CL19)</f>
        <v>0</v>
      </c>
      <c r="Q4" s="795">
        <f>IF('4 Myynti'!CL19=0,0,'4 Myynti'!CL134/'4 Myynti'!CL19)</f>
        <v>0</v>
      </c>
      <c r="R4" s="795">
        <f>IF('4 Myynti'!CL19=0,0,'4 Myynti'!CL157/'4 Myynti'!CL19)</f>
        <v>0</v>
      </c>
      <c r="S4" s="646">
        <f>IF('4 Myynti'!CL19=0,0,(('4 Myynti'!CL19)/'4 Myynti'!$CL$19))</f>
        <v>0</v>
      </c>
      <c r="T4" s="276"/>
      <c r="X4" t="s">
        <v>1</v>
      </c>
      <c r="AD4" s="708"/>
      <c r="AE4" s="708"/>
      <c r="AF4" s="708"/>
      <c r="AG4" s="708"/>
      <c r="AH4" s="708"/>
      <c r="AI4" s="708"/>
      <c r="AJ4" s="708"/>
      <c r="AK4" s="708"/>
      <c r="AL4" s="708"/>
      <c r="AM4" s="708"/>
      <c r="AN4" s="708"/>
      <c r="AO4" s="708"/>
      <c r="AP4" s="708"/>
      <c r="AQ4" s="708"/>
      <c r="AR4" s="708"/>
      <c r="AS4" s="708"/>
      <c r="AT4" s="708"/>
      <c r="AU4" s="705"/>
    </row>
    <row r="5" spans="2:47" ht="13.5" thickBot="1" x14ac:dyDescent="0.25">
      <c r="B5" s="94" t="s">
        <v>411</v>
      </c>
      <c r="C5" s="368" t="s">
        <v>427</v>
      </c>
      <c r="D5" s="1647" t="s">
        <v>412</v>
      </c>
      <c r="E5" s="1647"/>
      <c r="F5" s="1647"/>
      <c r="G5" s="1647"/>
      <c r="H5" s="1647"/>
      <c r="I5" s="1648"/>
      <c r="J5" s="368" t="s">
        <v>150</v>
      </c>
      <c r="L5" s="94" t="s">
        <v>411</v>
      </c>
      <c r="M5" s="1646" t="s">
        <v>412</v>
      </c>
      <c r="N5" s="1647"/>
      <c r="O5" s="1647"/>
      <c r="P5" s="1647"/>
      <c r="Q5" s="1647"/>
      <c r="R5" s="1648"/>
      <c r="S5" s="368" t="s">
        <v>107</v>
      </c>
      <c r="V5" s="399" t="str">
        <f t="shared" ref="V5:AA5" si="0">M6</f>
        <v>Verkko1</v>
      </c>
      <c r="W5" s="399" t="str">
        <f t="shared" si="0"/>
        <v>Verkko2</v>
      </c>
      <c r="X5" s="399" t="str">
        <f t="shared" si="0"/>
        <v>Isorysä1</v>
      </c>
      <c r="Y5" s="51" t="str">
        <f t="shared" si="0"/>
        <v>Isorysä2</v>
      </c>
      <c r="Z5" s="399" t="str">
        <f t="shared" si="0"/>
        <v>PU-rysä1</v>
      </c>
      <c r="AA5" s="51" t="str">
        <f t="shared" si="0"/>
        <v>PU-rysä2</v>
      </c>
      <c r="AB5" s="399" t="s">
        <v>107</v>
      </c>
      <c r="AR5" s="705"/>
      <c r="AS5" s="705"/>
      <c r="AT5" s="705"/>
      <c r="AU5" s="705"/>
    </row>
    <row r="6" spans="2:47" ht="13.5" thickBot="1" x14ac:dyDescent="0.25">
      <c r="B6" s="95"/>
      <c r="C6" s="784" t="s">
        <v>413</v>
      </c>
      <c r="D6" s="390" t="str">
        <f>'2.1 Verkkopyynti'!D4</f>
        <v>Verkko1</v>
      </c>
      <c r="E6" s="391" t="str">
        <f>'2.1 Verkkopyynti'!D62</f>
        <v>Verkko2</v>
      </c>
      <c r="F6" s="391" t="str">
        <f>'2.2 Rysäpyynti'!D4</f>
        <v>Isorysä1</v>
      </c>
      <c r="G6" s="391" t="str">
        <f>'2.2 Rysäpyynti'!D105</f>
        <v>Isorysä2</v>
      </c>
      <c r="H6" s="391" t="str">
        <f>'2.2 Rysäpyynti'!K4</f>
        <v>PU-rysä1</v>
      </c>
      <c r="I6" s="391" t="str">
        <f>'2.2 Rysäpyynti'!K105</f>
        <v>PU-rysä2</v>
      </c>
      <c r="J6" s="369" t="s">
        <v>151</v>
      </c>
      <c r="L6" s="95"/>
      <c r="M6" s="466" t="str">
        <f t="shared" ref="M6:R6" si="1">D6</f>
        <v>Verkko1</v>
      </c>
      <c r="N6" s="465" t="str">
        <f t="shared" si="1"/>
        <v>Verkko2</v>
      </c>
      <c r="O6" s="465" t="str">
        <f t="shared" si="1"/>
        <v>Isorysä1</v>
      </c>
      <c r="P6" s="465" t="str">
        <f t="shared" si="1"/>
        <v>Isorysä2</v>
      </c>
      <c r="Q6" s="465" t="str">
        <f t="shared" si="1"/>
        <v>PU-rysä1</v>
      </c>
      <c r="R6" s="465" t="str">
        <f t="shared" si="1"/>
        <v>PU-rysä2</v>
      </c>
      <c r="S6" s="369" t="s">
        <v>151</v>
      </c>
      <c r="U6" s="94" t="s">
        <v>411</v>
      </c>
      <c r="V6" s="342" t="s">
        <v>145</v>
      </c>
      <c r="W6" s="342" t="s">
        <v>145</v>
      </c>
      <c r="X6" s="342" t="s">
        <v>145</v>
      </c>
      <c r="Y6" s="342" t="s">
        <v>145</v>
      </c>
      <c r="Z6" s="342" t="s">
        <v>145</v>
      </c>
      <c r="AA6" s="342" t="s">
        <v>145</v>
      </c>
      <c r="AB6" s="342" t="s">
        <v>145</v>
      </c>
      <c r="AR6" s="705"/>
      <c r="AS6" s="705"/>
      <c r="AT6" s="705"/>
      <c r="AU6" s="705"/>
    </row>
    <row r="7" spans="2:47" ht="13.5" thickBot="1" x14ac:dyDescent="0.25">
      <c r="B7" s="382" t="s">
        <v>126</v>
      </c>
      <c r="C7" s="394"/>
      <c r="D7" s="99"/>
      <c r="E7" s="99"/>
      <c r="F7" s="101"/>
      <c r="G7" s="101"/>
      <c r="H7" s="98"/>
      <c r="I7" s="98"/>
      <c r="J7" s="100"/>
      <c r="L7" s="382" t="s">
        <v>126</v>
      </c>
      <c r="M7" s="93"/>
      <c r="N7" s="99"/>
      <c r="O7" s="99"/>
      <c r="P7" s="99"/>
      <c r="Q7" s="99"/>
      <c r="R7" s="99"/>
      <c r="S7" s="100"/>
      <c r="U7" s="786" t="s">
        <v>126</v>
      </c>
      <c r="V7" s="500">
        <f>M8+M9+M10</f>
        <v>0</v>
      </c>
      <c r="W7" s="500">
        <f t="shared" ref="W7:AB7" si="2">N8+N9+N10</f>
        <v>0</v>
      </c>
      <c r="X7" s="500">
        <f t="shared" si="2"/>
        <v>0</v>
      </c>
      <c r="Y7" s="500">
        <f>P8+P9+P10</f>
        <v>0</v>
      </c>
      <c r="Z7" s="500">
        <f t="shared" si="2"/>
        <v>0</v>
      </c>
      <c r="AA7" s="789">
        <f t="shared" si="2"/>
        <v>0</v>
      </c>
      <c r="AB7" s="449">
        <f t="shared" si="2"/>
        <v>0</v>
      </c>
      <c r="AJ7" s="27"/>
      <c r="AR7" s="705"/>
      <c r="AS7" s="705"/>
      <c r="AT7" s="705"/>
      <c r="AU7" s="705"/>
    </row>
    <row r="8" spans="2:47" x14ac:dyDescent="0.2">
      <c r="B8" s="2" t="s">
        <v>124</v>
      </c>
      <c r="C8" s="1541"/>
      <c r="D8" s="1542"/>
      <c r="E8" s="1542"/>
      <c r="F8" s="1542"/>
      <c r="G8" s="1542"/>
      <c r="H8" s="1543"/>
      <c r="I8" s="1543"/>
      <c r="J8" s="628">
        <f>SUM(C8:I8)</f>
        <v>0</v>
      </c>
      <c r="L8" s="386" t="s">
        <v>124</v>
      </c>
      <c r="M8" s="433">
        <f>IF('4 Myynti'!$CL$24=0,0,(D8+($C8*M$4)+M95))</f>
        <v>0</v>
      </c>
      <c r="N8" s="511">
        <f>IF('4 Myynti'!$CL$47=0,0,(E8+($C8*N$4)+N95))</f>
        <v>0</v>
      </c>
      <c r="O8" s="438">
        <f>IF('2.2 Rysäpyynti'!$G$6=0,0,(F8+($C8*O$4)+O95))</f>
        <v>0</v>
      </c>
      <c r="P8" s="438">
        <f>IF('2.2 Rysäpyynti'!$G$107=0,0,(G8+($C8*P$4)+P95))</f>
        <v>0</v>
      </c>
      <c r="Q8" s="438">
        <f>IF('4 Myynti'!$CL$116=0,0,(H8+($C8*Q$4)+Q95))</f>
        <v>0</v>
      </c>
      <c r="R8" s="438">
        <f>IF('4 Myynti'!$CL$139=0,0,(I8+($C8*R$4)+R95))</f>
        <v>0</v>
      </c>
      <c r="S8" s="426">
        <f>SUM(M8:R8)</f>
        <v>0</v>
      </c>
      <c r="U8" s="787" t="s">
        <v>129</v>
      </c>
      <c r="V8" s="524">
        <f>M12+M13+M14</f>
        <v>0</v>
      </c>
      <c r="W8" s="524">
        <f t="shared" ref="W8:AB8" si="3">N12+N13+N14</f>
        <v>0</v>
      </c>
      <c r="X8" s="524">
        <f t="shared" si="3"/>
        <v>0</v>
      </c>
      <c r="Y8" s="524">
        <f>P12+P13+P14</f>
        <v>0</v>
      </c>
      <c r="Z8" s="524">
        <f t="shared" si="3"/>
        <v>0</v>
      </c>
      <c r="AA8" s="790">
        <f t="shared" si="3"/>
        <v>0</v>
      </c>
      <c r="AB8" s="450">
        <f t="shared" si="3"/>
        <v>0</v>
      </c>
      <c r="AJ8" s="27"/>
      <c r="AR8" s="705"/>
      <c r="AS8" s="705"/>
      <c r="AT8" s="705"/>
      <c r="AU8" s="705"/>
    </row>
    <row r="9" spans="2:47" ht="12.75" customHeight="1" x14ac:dyDescent="0.2">
      <c r="B9" s="3" t="s">
        <v>125</v>
      </c>
      <c r="C9" s="1541"/>
      <c r="D9" s="1544"/>
      <c r="E9" s="1544"/>
      <c r="F9" s="1544"/>
      <c r="G9" s="1544"/>
      <c r="H9" s="1545"/>
      <c r="I9" s="1545"/>
      <c r="J9" s="628">
        <f>SUM(C9:I9)</f>
        <v>0</v>
      </c>
      <c r="L9" s="386" t="s">
        <v>125</v>
      </c>
      <c r="M9" s="437">
        <f>IF('4 Myynti'!$CL$24=0,0,(D9+($C9*M$4)+M96))</f>
        <v>0</v>
      </c>
      <c r="N9" s="511">
        <f>IF('4 Myynti'!$CL$47=0,0,(E9+($C9*N$4)+N96))</f>
        <v>0</v>
      </c>
      <c r="O9" s="438">
        <f>IF('2.2 Rysäpyynti'!$G$6=0,0,(F9+($C9*O$4)+O96))</f>
        <v>0</v>
      </c>
      <c r="P9" s="438">
        <f>IF('2.2 Rysäpyynti'!$G$107=0,0,(G9+($C9*P$4)+P96))</f>
        <v>0</v>
      </c>
      <c r="Q9" s="438">
        <f>IF('4 Myynti'!$CL$116=0,0,(H9+($C9*Q$4)+Q96))</f>
        <v>0</v>
      </c>
      <c r="R9" s="438">
        <f>IF('4 Myynti'!$CL$139=0,0,(I9+($C9*R$4)+R96))</f>
        <v>0</v>
      </c>
      <c r="S9" s="426">
        <f>SUM(M9:R9)</f>
        <v>0</v>
      </c>
      <c r="U9" s="787" t="str">
        <f>L15</f>
        <v>Palkat ja omat eläkemaksut</v>
      </c>
      <c r="V9" s="524">
        <f>M16+M17</f>
        <v>0</v>
      </c>
      <c r="W9" s="524">
        <f t="shared" ref="W9:AB9" si="4">N16+N17</f>
        <v>0</v>
      </c>
      <c r="X9" s="524">
        <f t="shared" si="4"/>
        <v>0</v>
      </c>
      <c r="Y9" s="524">
        <f>P16+P17</f>
        <v>0</v>
      </c>
      <c r="Z9" s="524">
        <f t="shared" si="4"/>
        <v>0</v>
      </c>
      <c r="AA9" s="790">
        <f t="shared" si="4"/>
        <v>0</v>
      </c>
      <c r="AB9" s="450">
        <f t="shared" si="4"/>
        <v>0</v>
      </c>
      <c r="AJ9" s="27"/>
      <c r="AR9" s="705"/>
      <c r="AT9" s="705"/>
      <c r="AU9" s="705"/>
    </row>
    <row r="10" spans="2:47" ht="13.5" thickBot="1" x14ac:dyDescent="0.25">
      <c r="B10" s="12" t="s">
        <v>528</v>
      </c>
      <c r="C10" s="1546"/>
      <c r="D10" s="1547"/>
      <c r="E10" s="1547"/>
      <c r="F10" s="1547"/>
      <c r="G10" s="1547"/>
      <c r="H10" s="1548"/>
      <c r="I10" s="1548"/>
      <c r="J10" s="628">
        <f>SUM(C10:I10)</f>
        <v>0</v>
      </c>
      <c r="L10" s="1151" t="s">
        <v>528</v>
      </c>
      <c r="M10" s="440">
        <f>IF('4 Myynti'!$CL$24=0,0,(D10+($C10*M$4)+M97))</f>
        <v>0</v>
      </c>
      <c r="N10" s="511">
        <f>IF('4 Myynti'!$CL$47=0,0,(E10+($C10*N$4)+N97))</f>
        <v>0</v>
      </c>
      <c r="O10" s="438">
        <f>IF('2.2 Rysäpyynti'!$G$6=0,0,(F10+($C10*O$4)+O97))</f>
        <v>0</v>
      </c>
      <c r="P10" s="438">
        <f>IF('2.2 Rysäpyynti'!$G$107=0,0,(G10+($C10*P$4)+P97))</f>
        <v>0</v>
      </c>
      <c r="Q10" s="438">
        <f>IF('4 Myynti'!$CL$116=0,0,(H10+($C10*Q$4)+Q97))</f>
        <v>0</v>
      </c>
      <c r="R10" s="438">
        <f>IF('4 Myynti'!$CL$139=0,0,(I10+($C10*R$4)+R97))</f>
        <v>0</v>
      </c>
      <c r="S10" s="426">
        <f>SUM(M10:R10)</f>
        <v>0</v>
      </c>
      <c r="U10" s="787" t="s">
        <v>128</v>
      </c>
      <c r="V10" s="524">
        <f>M19+M20</f>
        <v>0</v>
      </c>
      <c r="W10" s="524">
        <f t="shared" ref="W10:AB10" si="5">N19+N20</f>
        <v>0</v>
      </c>
      <c r="X10" s="524">
        <f t="shared" si="5"/>
        <v>0</v>
      </c>
      <c r="Y10" s="524">
        <f>P19+P20</f>
        <v>0</v>
      </c>
      <c r="Z10" s="524">
        <f t="shared" si="5"/>
        <v>0</v>
      </c>
      <c r="AA10" s="790">
        <f t="shared" si="5"/>
        <v>0</v>
      </c>
      <c r="AB10" s="450">
        <f t="shared" si="5"/>
        <v>0</v>
      </c>
      <c r="AJ10" s="27"/>
      <c r="AR10" s="705"/>
      <c r="AS10" s="705"/>
      <c r="AT10" s="705"/>
      <c r="AU10" s="705"/>
    </row>
    <row r="11" spans="2:47" ht="13.5" thickBot="1" x14ac:dyDescent="0.25">
      <c r="B11" s="382" t="s">
        <v>129</v>
      </c>
      <c r="C11" s="772"/>
      <c r="D11" s="284"/>
      <c r="E11" s="284"/>
      <c r="F11" s="284"/>
      <c r="G11" s="284"/>
      <c r="H11" s="285"/>
      <c r="I11" s="285"/>
      <c r="J11" s="283"/>
      <c r="L11" s="382" t="s">
        <v>129</v>
      </c>
      <c r="M11" s="751"/>
      <c r="N11" s="101"/>
      <c r="O11" s="101"/>
      <c r="P11" s="101"/>
      <c r="Q11" s="101"/>
      <c r="R11" s="750"/>
      <c r="S11" s="100"/>
      <c r="U11" s="787" t="s">
        <v>134</v>
      </c>
      <c r="V11" s="524">
        <f>M22+M23</f>
        <v>0</v>
      </c>
      <c r="W11" s="524">
        <f t="shared" ref="W11:AB11" si="6">N22+N23</f>
        <v>0</v>
      </c>
      <c r="X11" s="524">
        <f t="shared" si="6"/>
        <v>0</v>
      </c>
      <c r="Y11" s="524">
        <f>P22+P23</f>
        <v>0</v>
      </c>
      <c r="Z11" s="524">
        <f t="shared" si="6"/>
        <v>0</v>
      </c>
      <c r="AA11" s="790">
        <f t="shared" si="6"/>
        <v>0</v>
      </c>
      <c r="AB11" s="450">
        <f t="shared" si="6"/>
        <v>0</v>
      </c>
      <c r="AJ11" s="27"/>
      <c r="AR11" s="705"/>
      <c r="AS11" s="705"/>
      <c r="AT11" s="705"/>
      <c r="AU11" s="705"/>
    </row>
    <row r="12" spans="2:47" x14ac:dyDescent="0.2">
      <c r="B12" s="3" t="s">
        <v>130</v>
      </c>
      <c r="C12" s="1549"/>
      <c r="D12" s="1542"/>
      <c r="E12" s="1542"/>
      <c r="F12" s="1542"/>
      <c r="G12" s="1542"/>
      <c r="H12" s="1543"/>
      <c r="I12" s="1543"/>
      <c r="J12" s="628">
        <f>SUM(C12:I12)</f>
        <v>0</v>
      </c>
      <c r="L12" s="386" t="s">
        <v>130</v>
      </c>
      <c r="M12" s="437">
        <f>IF('4 Myynti'!$CL$24=0,0,(D12+($C12*M$4)))</f>
        <v>0</v>
      </c>
      <c r="N12" s="511">
        <f>IF('4 Myynti'!$CL$47=0,0,(E12+($C12*N$4)))</f>
        <v>0</v>
      </c>
      <c r="O12" s="438">
        <f>IF('2.2 Rysäpyynti'!$G$6=0,0,(F12+($C12*$O$4)))</f>
        <v>0</v>
      </c>
      <c r="P12" s="438">
        <f>IF('2.2 Rysäpyynti'!$G$107=0,0,(G12+($C12*$P$4)))</f>
        <v>0</v>
      </c>
      <c r="Q12" s="438">
        <f>IF('4 Myynti'!$CL$116=0,0,(H12+($C12*Q$4)))</f>
        <v>0</v>
      </c>
      <c r="R12" s="438">
        <f>IF('4 Myynti'!$CL$139=0,0,(I12+($C12*R$4)))</f>
        <v>0</v>
      </c>
      <c r="S12" s="426">
        <f>SUM(M12:R12)</f>
        <v>0</v>
      </c>
      <c r="U12" s="787" t="s">
        <v>611</v>
      </c>
      <c r="V12" s="524">
        <f>M25+M26+M27+M28</f>
        <v>0</v>
      </c>
      <c r="W12" s="524">
        <f t="shared" ref="W12:AB12" si="7">N25+N26+N27+N28</f>
        <v>0</v>
      </c>
      <c r="X12" s="524">
        <f t="shared" si="7"/>
        <v>0</v>
      </c>
      <c r="Y12" s="524">
        <f t="shared" si="7"/>
        <v>0</v>
      </c>
      <c r="Z12" s="524">
        <f t="shared" si="7"/>
        <v>0</v>
      </c>
      <c r="AA12" s="790">
        <f t="shared" si="7"/>
        <v>0</v>
      </c>
      <c r="AB12" s="450">
        <f t="shared" si="7"/>
        <v>0</v>
      </c>
      <c r="AJ12" s="27"/>
      <c r="AR12" s="705"/>
      <c r="AS12" s="705"/>
      <c r="AT12" s="705"/>
      <c r="AU12" s="705"/>
    </row>
    <row r="13" spans="2:47" x14ac:dyDescent="0.2">
      <c r="B13" s="3" t="s">
        <v>131</v>
      </c>
      <c r="C13" s="1541"/>
      <c r="D13" s="1544"/>
      <c r="E13" s="1544"/>
      <c r="F13" s="1544"/>
      <c r="G13" s="1544"/>
      <c r="H13" s="1545"/>
      <c r="I13" s="1545"/>
      <c r="J13" s="628">
        <f>SUM(C13:I13)</f>
        <v>0</v>
      </c>
      <c r="L13" s="386" t="s">
        <v>131</v>
      </c>
      <c r="M13" s="437">
        <f>IF('4 Myynti'!$CL$24=0,0,(D13+($C13*M$4)))</f>
        <v>0</v>
      </c>
      <c r="N13" s="511">
        <f>IF('4 Myynti'!$CL$47=0,0,(E13+($C13*N$4)))</f>
        <v>0</v>
      </c>
      <c r="O13" s="438">
        <f>IF('2.2 Rysäpyynti'!$G$6=0,0,(F13+($C13*$O$4)))</f>
        <v>0</v>
      </c>
      <c r="P13" s="438">
        <f>IF('2.2 Rysäpyynti'!$G$107=0,0,(G13+($C13*$P$4)))</f>
        <v>0</v>
      </c>
      <c r="Q13" s="438">
        <f>IF('4 Myynti'!$CL$116=0,0,(H13+($C13*Q$4)))</f>
        <v>0</v>
      </c>
      <c r="R13" s="438">
        <f>IF('4 Myynti'!$CL$139=0,0,(I13+($C13*R$4)))</f>
        <v>0</v>
      </c>
      <c r="S13" s="426">
        <f>SUM(M13:R13)</f>
        <v>0</v>
      </c>
      <c r="U13" s="787" t="s">
        <v>227</v>
      </c>
      <c r="V13" s="524">
        <f>M46</f>
        <v>0</v>
      </c>
      <c r="W13" s="524">
        <f t="shared" ref="W13:AB13" si="8">N46</f>
        <v>0</v>
      </c>
      <c r="X13" s="524">
        <f t="shared" si="8"/>
        <v>0</v>
      </c>
      <c r="Y13" s="524">
        <f>P46</f>
        <v>0</v>
      </c>
      <c r="Z13" s="524">
        <f t="shared" si="8"/>
        <v>0</v>
      </c>
      <c r="AA13" s="790">
        <f t="shared" si="8"/>
        <v>0</v>
      </c>
      <c r="AB13" s="450">
        <f t="shared" si="8"/>
        <v>0</v>
      </c>
      <c r="AJ13" s="27"/>
      <c r="AR13" s="705"/>
      <c r="AS13" s="705"/>
      <c r="AT13" s="705"/>
      <c r="AU13" s="705"/>
    </row>
    <row r="14" spans="2:47" ht="13.5" thickBot="1" x14ac:dyDescent="0.25">
      <c r="B14" s="3" t="s">
        <v>138</v>
      </c>
      <c r="C14" s="1546"/>
      <c r="D14" s="1547"/>
      <c r="E14" s="1547"/>
      <c r="F14" s="1547"/>
      <c r="G14" s="1547"/>
      <c r="H14" s="1548"/>
      <c r="I14" s="1548"/>
      <c r="J14" s="628">
        <f>SUM(C14:I14)</f>
        <v>0</v>
      </c>
      <c r="L14" s="386" t="s">
        <v>138</v>
      </c>
      <c r="M14" s="437">
        <f>IF('4 Myynti'!$CL$24=0,0,(D14+($C14*M$4)))</f>
        <v>0</v>
      </c>
      <c r="N14" s="511">
        <f>IF('4 Myynti'!$CL$47=0,0,(E14+($C14*N$4)))</f>
        <v>0</v>
      </c>
      <c r="O14" s="438">
        <f>IF('2.2 Rysäpyynti'!$G$6=0,0,(F14+($C14*$O$4)))</f>
        <v>0</v>
      </c>
      <c r="P14" s="438">
        <f>IF('2.2 Rysäpyynti'!$G$107=0,0,(G14+($C14*$P$4)))</f>
        <v>0</v>
      </c>
      <c r="Q14" s="438">
        <f>IF('4 Myynti'!$CL$116=0,0,(H14+($C14*Q$4)))</f>
        <v>0</v>
      </c>
      <c r="R14" s="438">
        <f>IF('4 Myynti'!$CL$139=0,0,(I14+($C14*R$4)))</f>
        <v>0</v>
      </c>
      <c r="S14" s="426">
        <f>SUM(M14:R14)</f>
        <v>0</v>
      </c>
      <c r="U14" s="787" t="s">
        <v>617</v>
      </c>
      <c r="V14" s="524">
        <f>M73</f>
        <v>0</v>
      </c>
      <c r="W14" s="524">
        <f t="shared" ref="W14:AB14" si="9">N73</f>
        <v>0</v>
      </c>
      <c r="X14" s="524">
        <f t="shared" si="9"/>
        <v>0</v>
      </c>
      <c r="Y14" s="524">
        <f>P73</f>
        <v>0</v>
      </c>
      <c r="Z14" s="524">
        <f t="shared" si="9"/>
        <v>0</v>
      </c>
      <c r="AA14" s="790">
        <f t="shared" si="9"/>
        <v>0</v>
      </c>
      <c r="AB14" s="450">
        <f t="shared" si="9"/>
        <v>0</v>
      </c>
      <c r="AJ14" s="27"/>
      <c r="AR14" s="705"/>
      <c r="AS14" s="705"/>
      <c r="AT14" s="705"/>
      <c r="AU14" s="705"/>
    </row>
    <row r="15" spans="2:47" ht="13.5" thickBot="1" x14ac:dyDescent="0.25">
      <c r="B15" s="382" t="s">
        <v>634</v>
      </c>
      <c r="C15" s="772"/>
      <c r="D15" s="284"/>
      <c r="E15" s="284"/>
      <c r="F15" s="284"/>
      <c r="G15" s="284"/>
      <c r="H15" s="285"/>
      <c r="I15" s="285"/>
      <c r="J15" s="283"/>
      <c r="L15" s="382" t="s">
        <v>634</v>
      </c>
      <c r="M15" s="751"/>
      <c r="N15" s="101"/>
      <c r="O15" s="101"/>
      <c r="P15" s="101"/>
      <c r="Q15" s="101"/>
      <c r="R15" s="750"/>
      <c r="S15" s="100"/>
      <c r="U15" s="788" t="s">
        <v>107</v>
      </c>
      <c r="V15" s="531">
        <f>SUM(V7:V14)</f>
        <v>0</v>
      </c>
      <c r="W15" s="531">
        <f t="shared" ref="W15:AB15" si="10">SUM(W7:W14)</f>
        <v>0</v>
      </c>
      <c r="X15" s="531">
        <f t="shared" si="10"/>
        <v>0</v>
      </c>
      <c r="Y15" s="531">
        <f t="shared" si="10"/>
        <v>0</v>
      </c>
      <c r="Z15" s="531">
        <f t="shared" si="10"/>
        <v>0</v>
      </c>
      <c r="AA15" s="791">
        <f t="shared" si="10"/>
        <v>0</v>
      </c>
      <c r="AB15" s="451">
        <f t="shared" si="10"/>
        <v>0</v>
      </c>
      <c r="AJ15" s="27"/>
      <c r="AR15" s="705"/>
      <c r="AS15" s="705"/>
      <c r="AT15" s="705"/>
      <c r="AU15" s="705"/>
    </row>
    <row r="16" spans="2:47" x14ac:dyDescent="0.2">
      <c r="B16" s="3" t="s">
        <v>266</v>
      </c>
      <c r="C16" s="1549"/>
      <c r="D16" s="1542"/>
      <c r="E16" s="1542"/>
      <c r="F16" s="1542"/>
      <c r="G16" s="1542"/>
      <c r="H16" s="1543"/>
      <c r="I16" s="1543"/>
      <c r="J16" s="628">
        <f>SUM(C16:I16)</f>
        <v>0</v>
      </c>
      <c r="L16" s="386" t="s">
        <v>266</v>
      </c>
      <c r="M16" s="437">
        <f>IF('4 Myynti'!$CL$24=0,0,(D16+($C16*M$4)+M99))</f>
        <v>0</v>
      </c>
      <c r="N16" s="511">
        <f>IF('4 Myynti'!$CL$47=0,0,(E16+($C16*N$4)+N99))</f>
        <v>0</v>
      </c>
      <c r="O16" s="438">
        <f>IF('2.2 Rysäpyynti'!$G$6=0,0,(F16+($C16*O$4)+O99))</f>
        <v>0</v>
      </c>
      <c r="P16" s="438">
        <f>IF('2.2 Rysäpyynti'!$G$107=0,0,(G16+($C16*P$4)+P99))</f>
        <v>0</v>
      </c>
      <c r="Q16" s="438">
        <f>IF('4 Myynti'!$CL$116=0,0,(H16+($C16*Q$4)+Q99))</f>
        <v>0</v>
      </c>
      <c r="R16" s="438">
        <f>IF('4 Myynti'!$CL$139=0,0,(I16+($C16*R$4)+R99))</f>
        <v>0</v>
      </c>
      <c r="S16" s="426">
        <f>SUM(M16:R16)</f>
        <v>0</v>
      </c>
      <c r="AJ16" s="27"/>
      <c r="AR16" s="705"/>
      <c r="AS16" s="705"/>
      <c r="AT16" s="705"/>
      <c r="AU16" s="705"/>
    </row>
    <row r="17" spans="2:48" ht="13.5" thickBot="1" x14ac:dyDescent="0.25">
      <c r="B17" s="3" t="s">
        <v>127</v>
      </c>
      <c r="C17" s="1546"/>
      <c r="D17" s="1547"/>
      <c r="E17" s="1547"/>
      <c r="F17" s="1547"/>
      <c r="G17" s="1547"/>
      <c r="H17" s="1548"/>
      <c r="I17" s="1548"/>
      <c r="J17" s="628">
        <f>SUM(C17:I17)</f>
        <v>0</v>
      </c>
      <c r="L17" s="386" t="s">
        <v>127</v>
      </c>
      <c r="M17" s="437">
        <f>IF('4 Myynti'!$CL$24=0,0,(D17+($C17*M$4)))</f>
        <v>0</v>
      </c>
      <c r="N17" s="511">
        <f>IF('4 Myynti'!$CL$47=0,0,(E17+($C17*N$4)))</f>
        <v>0</v>
      </c>
      <c r="O17" s="438">
        <f>IF('2.2 Rysäpyynti'!$G$6=0,0,(F17+($C17*O$4)))</f>
        <v>0</v>
      </c>
      <c r="P17" s="438">
        <f>IF('2.2 Rysäpyynti'!$G$107=0,0,(G17+($C17*P$4)))</f>
        <v>0</v>
      </c>
      <c r="Q17" s="438">
        <f>IF('4 Myynti'!$CL$116=0,0,(H17+($C17*Q$4)))</f>
        <v>0</v>
      </c>
      <c r="R17" s="438">
        <f>IF('4 Myynti'!$CL$139=0,0,(I17+($C17*R$4)))</f>
        <v>0</v>
      </c>
      <c r="S17" s="426">
        <f>SUM(M17:R17)</f>
        <v>0</v>
      </c>
      <c r="AJ17" s="27"/>
      <c r="AR17" s="705"/>
      <c r="AS17" s="705"/>
      <c r="AT17" s="705"/>
      <c r="AU17" s="705"/>
    </row>
    <row r="18" spans="2:48" ht="13.5" thickBot="1" x14ac:dyDescent="0.25">
      <c r="B18" s="382" t="s">
        <v>128</v>
      </c>
      <c r="C18" s="772"/>
      <c r="D18" s="284"/>
      <c r="E18" s="284"/>
      <c r="F18" s="284"/>
      <c r="G18" s="284"/>
      <c r="H18" s="285"/>
      <c r="I18" s="285"/>
      <c r="J18" s="283"/>
      <c r="L18" s="382" t="s">
        <v>128</v>
      </c>
      <c r="M18" s="751"/>
      <c r="N18" s="101"/>
      <c r="O18" s="101"/>
      <c r="P18" s="101"/>
      <c r="Q18" s="101"/>
      <c r="R18" s="750"/>
      <c r="S18" s="100"/>
      <c r="U18" s="34"/>
      <c r="V18" s="34"/>
      <c r="W18" s="34"/>
      <c r="X18" s="34"/>
      <c r="Y18" s="34"/>
      <c r="Z18" s="34"/>
      <c r="AB18" s="34"/>
      <c r="AC18" s="34"/>
      <c r="AI18" s="34"/>
      <c r="AJ18" s="27"/>
      <c r="AR18" s="705"/>
      <c r="AS18" s="705"/>
      <c r="AT18" s="705"/>
      <c r="AU18" s="705"/>
    </row>
    <row r="19" spans="2:48" x14ac:dyDescent="0.2">
      <c r="B19" s="3" t="s">
        <v>274</v>
      </c>
      <c r="C19" s="1549"/>
      <c r="D19" s="1542"/>
      <c r="E19" s="1542"/>
      <c r="F19" s="1542"/>
      <c r="G19" s="1542"/>
      <c r="H19" s="1543"/>
      <c r="I19" s="1543"/>
      <c r="J19" s="628">
        <f>SUM(C19:I19)</f>
        <v>0</v>
      </c>
      <c r="L19" s="386" t="s">
        <v>274</v>
      </c>
      <c r="M19" s="437">
        <f>IF('4 Myynti'!$CL$24=0,0,(D19+($C19*M$4)))</f>
        <v>0</v>
      </c>
      <c r="N19" s="511">
        <f>IF('4 Myynti'!$CL$47=0,0,(E19+($C19*N$4)))</f>
        <v>0</v>
      </c>
      <c r="O19" s="438">
        <f>IF('2.2 Rysäpyynti'!$G$6=0,0,(F19+($C19*$O$4)))</f>
        <v>0</v>
      </c>
      <c r="P19" s="438">
        <f>IF('2.2 Rysäpyynti'!$G$107=0,0,(G19+($C19*$P$4)))</f>
        <v>0</v>
      </c>
      <c r="Q19" s="438">
        <f>IF('4 Myynti'!$CL$116=0,0,(H19+($C19*Q$4)))</f>
        <v>0</v>
      </c>
      <c r="R19" s="438">
        <f>IF('4 Myynti'!$CL$139=0,0,(I19+($C19*R$4)))</f>
        <v>0</v>
      </c>
      <c r="S19" s="426">
        <f>SUM(M19:R19)</f>
        <v>0</v>
      </c>
      <c r="AJ19" s="27"/>
      <c r="AR19" s="705"/>
      <c r="AS19" s="705"/>
      <c r="AT19" s="705"/>
      <c r="AU19" s="705"/>
    </row>
    <row r="20" spans="2:48" ht="13.5" thickBot="1" x14ac:dyDescent="0.25">
      <c r="B20" s="3" t="s">
        <v>132</v>
      </c>
      <c r="C20" s="1546"/>
      <c r="D20" s="1547"/>
      <c r="E20" s="1547"/>
      <c r="F20" s="1547"/>
      <c r="G20" s="1547"/>
      <c r="H20" s="1548"/>
      <c r="I20" s="1548"/>
      <c r="J20" s="628">
        <f>SUM(C20:I20)</f>
        <v>0</v>
      </c>
      <c r="L20" s="386" t="s">
        <v>132</v>
      </c>
      <c r="M20" s="437">
        <f>IF('4 Myynti'!$CL$24=0,0,(D20+($C20*M$4)))</f>
        <v>0</v>
      </c>
      <c r="N20" s="511">
        <f>IF('4 Myynti'!$CL$47=0,0,(E20+($C20*N$4)))</f>
        <v>0</v>
      </c>
      <c r="O20" s="438">
        <f>IF('2.2 Rysäpyynti'!$G$6=0,0,(F20+($C20*$O$4)))</f>
        <v>0</v>
      </c>
      <c r="P20" s="438">
        <f>IF('2.2 Rysäpyynti'!$G$107=0,0,(G20+($C20*$P$4)))</f>
        <v>0</v>
      </c>
      <c r="Q20" s="438">
        <f>IF('4 Myynti'!$CL$116=0,0,(H20+($C20*Q$4)))</f>
        <v>0</v>
      </c>
      <c r="R20" s="438">
        <f>IF('4 Myynti'!$CL$139=0,0,(I20+($C20*R$4)))</f>
        <v>0</v>
      </c>
      <c r="S20" s="426">
        <f>SUM(M20:R20)</f>
        <v>0</v>
      </c>
      <c r="AJ20" s="27"/>
      <c r="AR20" s="705"/>
      <c r="AS20" s="705"/>
      <c r="AT20" s="705"/>
      <c r="AU20" s="705"/>
    </row>
    <row r="21" spans="2:48" ht="13.5" thickBot="1" x14ac:dyDescent="0.25">
      <c r="B21" s="382" t="s">
        <v>134</v>
      </c>
      <c r="C21" s="772"/>
      <c r="D21" s="284"/>
      <c r="E21" s="284"/>
      <c r="F21" s="284"/>
      <c r="G21" s="284"/>
      <c r="H21" s="285"/>
      <c r="I21" s="285"/>
      <c r="J21" s="283"/>
      <c r="L21" s="382" t="s">
        <v>134</v>
      </c>
      <c r="M21" s="751"/>
      <c r="N21" s="101"/>
      <c r="O21" s="101"/>
      <c r="P21" s="101"/>
      <c r="Q21" s="101"/>
      <c r="R21" s="750"/>
      <c r="S21" s="100"/>
      <c r="AJ21" s="27"/>
      <c r="AR21" s="705"/>
      <c r="AS21" s="705"/>
      <c r="AT21" s="705"/>
      <c r="AU21" s="705"/>
    </row>
    <row r="22" spans="2:48" x14ac:dyDescent="0.2">
      <c r="B22" s="3" t="s">
        <v>135</v>
      </c>
      <c r="C22" s="1549"/>
      <c r="D22" s="1542"/>
      <c r="E22" s="1542"/>
      <c r="F22" s="1542"/>
      <c r="G22" s="1542"/>
      <c r="H22" s="1543"/>
      <c r="I22" s="1543"/>
      <c r="J22" s="628">
        <f>SUM(C22:I22)</f>
        <v>0</v>
      </c>
      <c r="L22" s="386" t="s">
        <v>135</v>
      </c>
      <c r="M22" s="437">
        <f>IF('4 Myynti'!$CL$24=0,0,(D22+($C22*M$4)))</f>
        <v>0</v>
      </c>
      <c r="N22" s="511">
        <f>IF('4 Myynti'!$CL$47=0,0,(E22+($C22*N$4)))</f>
        <v>0</v>
      </c>
      <c r="O22" s="438">
        <f>IF('2.2 Rysäpyynti'!$G$6=0,0,(F22+($C22*$O$4)))</f>
        <v>0</v>
      </c>
      <c r="P22" s="438">
        <f>IF('2.2 Rysäpyynti'!$G$107=0,0,(G22+($C22*$P$4)))</f>
        <v>0</v>
      </c>
      <c r="Q22" s="438">
        <f>IF('4 Myynti'!$CL$116=0,0,(H22+($C22*Q$4)))</f>
        <v>0</v>
      </c>
      <c r="R22" s="438">
        <f>IF('4 Myynti'!$CL$139=0,0,(I22+($C22*R$4)))</f>
        <v>0</v>
      </c>
      <c r="S22" s="426">
        <f>SUM(M22:R22)</f>
        <v>0</v>
      </c>
      <c r="AJ22" s="27"/>
      <c r="AR22" s="705"/>
      <c r="AS22" s="705"/>
      <c r="AT22" s="705"/>
      <c r="AU22" s="705"/>
    </row>
    <row r="23" spans="2:48" ht="13.5" thickBot="1" x14ac:dyDescent="0.25">
      <c r="B23" s="3" t="s">
        <v>136</v>
      </c>
      <c r="C23" s="1546"/>
      <c r="D23" s="1547"/>
      <c r="E23" s="1547"/>
      <c r="F23" s="1547"/>
      <c r="G23" s="1547"/>
      <c r="H23" s="1548"/>
      <c r="I23" s="1548"/>
      <c r="J23" s="628">
        <f>SUM(C23:I23)</f>
        <v>0</v>
      </c>
      <c r="L23" s="386" t="s">
        <v>136</v>
      </c>
      <c r="M23" s="437">
        <f>IF('4 Myynti'!$CL$24=0,0,(D23+($C23*M$4)))</f>
        <v>0</v>
      </c>
      <c r="N23" s="511">
        <f>IF('4 Myynti'!$CL$47=0,0,(E23+($C23*N$4)))</f>
        <v>0</v>
      </c>
      <c r="O23" s="438">
        <f>IF('2.2 Rysäpyynti'!$G$6=0,0,(F23+($C23*$O$4)))</f>
        <v>0</v>
      </c>
      <c r="P23" s="438">
        <f>IF('2.2 Rysäpyynti'!$G$107=0,0,(G23+($C23*$P$4)))</f>
        <v>0</v>
      </c>
      <c r="Q23" s="438">
        <f>IF('4 Myynti'!$CL$116=0,0,(H23+($C23*Q$4)))</f>
        <v>0</v>
      </c>
      <c r="R23" s="438">
        <f>IF('4 Myynti'!$CL$139=0,0,(I23+($C23*R$4)))</f>
        <v>0</v>
      </c>
      <c r="S23" s="426">
        <f>SUM(M23:R23)</f>
        <v>0</v>
      </c>
      <c r="AJ23" s="27"/>
      <c r="AR23" s="705"/>
      <c r="AS23" s="705"/>
      <c r="AT23" s="705"/>
      <c r="AU23" s="705"/>
    </row>
    <row r="24" spans="2:48" ht="13.5" thickBot="1" x14ac:dyDescent="0.25">
      <c r="B24" s="382" t="s">
        <v>611</v>
      </c>
      <c r="C24" s="772"/>
      <c r="D24" s="284"/>
      <c r="E24" s="284"/>
      <c r="F24" s="284"/>
      <c r="G24" s="284"/>
      <c r="H24" s="285"/>
      <c r="I24" s="285"/>
      <c r="J24" s="283"/>
      <c r="L24" s="382" t="s">
        <v>611</v>
      </c>
      <c r="M24" s="751"/>
      <c r="N24" s="101"/>
      <c r="O24" s="101"/>
      <c r="P24" s="101"/>
      <c r="Q24" s="101"/>
      <c r="R24" s="750"/>
      <c r="S24" s="100"/>
      <c r="AJ24" s="27"/>
      <c r="AR24" s="705"/>
      <c r="AS24" s="705"/>
      <c r="AT24" s="705"/>
      <c r="AU24" s="705"/>
    </row>
    <row r="25" spans="2:48" ht="13.5" customHeight="1" x14ac:dyDescent="0.25">
      <c r="B25" s="3" t="s">
        <v>137</v>
      </c>
      <c r="C25" s="1549"/>
      <c r="D25" s="1542"/>
      <c r="E25" s="1542"/>
      <c r="F25" s="1542"/>
      <c r="G25" s="1542"/>
      <c r="H25" s="1543"/>
      <c r="I25" s="1543"/>
      <c r="J25" s="628">
        <f>SUM(C25:I25)</f>
        <v>0</v>
      </c>
      <c r="L25" s="386" t="s">
        <v>137</v>
      </c>
      <c r="M25" s="437">
        <f>IF('4 Myynti'!$CL$24=0,0,(D25+($C25*M$4)))</f>
        <v>0</v>
      </c>
      <c r="N25" s="511">
        <f>IF('4 Myynti'!$CL$47=0,0,(E25+($C25*N$4)))</f>
        <v>0</v>
      </c>
      <c r="O25" s="438">
        <f>IF('2.2 Rysäpyynti'!$G$6=0,0,(F25+($C25*$O$4)))</f>
        <v>0</v>
      </c>
      <c r="P25" s="438">
        <f>IF('2.2 Rysäpyynti'!$G$107=0,0,(G25+($C25*$P$4)))</f>
        <v>0</v>
      </c>
      <c r="Q25" s="438">
        <f>IF('4 Myynti'!$CL$116=0,0,(H25+($C25*Q$4)))</f>
        <v>0</v>
      </c>
      <c r="R25" s="438">
        <f>IF('4 Myynti'!$CL$139=0,0,(I25+($C25*R$4)))</f>
        <v>0</v>
      </c>
      <c r="S25" s="426">
        <f>SUM(M25:R25)</f>
        <v>0</v>
      </c>
      <c r="AD25" s="708"/>
      <c r="AE25" s="708"/>
      <c r="AF25" s="708"/>
      <c r="AG25" s="708"/>
      <c r="AH25" s="708"/>
      <c r="AI25" s="708"/>
      <c r="AJ25" s="708"/>
      <c r="AK25" s="708"/>
      <c r="AL25" s="708"/>
      <c r="AM25" s="708"/>
      <c r="AN25" s="708"/>
      <c r="AO25" s="708"/>
      <c r="AP25" s="708"/>
      <c r="AQ25" s="708"/>
      <c r="AR25" s="708"/>
      <c r="AS25" s="708"/>
      <c r="AT25" s="708"/>
      <c r="AU25" s="705"/>
    </row>
    <row r="26" spans="2:48" ht="15" customHeight="1" x14ac:dyDescent="0.25">
      <c r="B26" s="3" t="s">
        <v>546</v>
      </c>
      <c r="C26" s="1541"/>
      <c r="D26" s="1544"/>
      <c r="E26" s="1544"/>
      <c r="F26" s="1544"/>
      <c r="G26" s="1544"/>
      <c r="H26" s="1545"/>
      <c r="I26" s="1545"/>
      <c r="J26" s="602">
        <f>SUM(C26:I26)</f>
        <v>0</v>
      </c>
      <c r="L26" s="386" t="s">
        <v>546</v>
      </c>
      <c r="M26" s="437">
        <f>IF('4 Myynti'!$CL$24=0,0,(D26+($C26*M$4)))</f>
        <v>0</v>
      </c>
      <c r="N26" s="511">
        <f>IF('4 Myynti'!$CL$47=0,0,(E26+($C26*N$4)))</f>
        <v>0</v>
      </c>
      <c r="O26" s="438">
        <f>IF('2.2 Rysäpyynti'!$G$6=0,0,(F26+($C26*$O$4)))</f>
        <v>0</v>
      </c>
      <c r="P26" s="438">
        <f>IF('2.2 Rysäpyynti'!$G$107=0,0,(G26+($C26*$P$4)))</f>
        <v>0</v>
      </c>
      <c r="Q26" s="438">
        <f>IF('4 Myynti'!$CL$116=0,0,(H26+($C26*Q$4)))</f>
        <v>0</v>
      </c>
      <c r="R26" s="438">
        <f>IF('4 Myynti'!$CL$139=0,0,(I26+($C26*R$4)))</f>
        <v>0</v>
      </c>
      <c r="S26" s="426">
        <f>SUM(M26:R26)</f>
        <v>0</v>
      </c>
      <c r="AD26" s="708"/>
      <c r="AE26" s="708"/>
      <c r="AF26" s="708" t="str">
        <f>X5</f>
        <v>Isorysä1</v>
      </c>
      <c r="AG26" s="708"/>
      <c r="AH26" s="708"/>
      <c r="AI26" s="708"/>
      <c r="AJ26" s="708"/>
      <c r="AK26" s="708"/>
      <c r="AL26" s="708"/>
      <c r="AM26" s="708"/>
      <c r="AN26" s="708" t="str">
        <f>Y5</f>
        <v>Isorysä2</v>
      </c>
      <c r="AO26" s="708"/>
      <c r="AP26" s="708"/>
      <c r="AQ26" s="708"/>
      <c r="AR26" s="708"/>
      <c r="AS26" s="708"/>
      <c r="AT26" s="708"/>
      <c r="AU26" s="705"/>
    </row>
    <row r="27" spans="2:48" ht="14.25" customHeight="1" x14ac:dyDescent="0.25">
      <c r="B27" s="12" t="s">
        <v>527</v>
      </c>
      <c r="C27" s="1541"/>
      <c r="D27" s="1544"/>
      <c r="E27" s="1544"/>
      <c r="F27" s="1544"/>
      <c r="G27" s="1544"/>
      <c r="H27" s="1545"/>
      <c r="I27" s="1545"/>
      <c r="J27" s="602">
        <f>SUM(C27:I27)</f>
        <v>0</v>
      </c>
      <c r="L27" s="1151" t="s">
        <v>527</v>
      </c>
      <c r="M27" s="437">
        <f>IF('4 Myynti'!$CL$24=0,0,(D27+($C27*M$4)))</f>
        <v>0</v>
      </c>
      <c r="N27" s="511">
        <f>IF('4 Myynti'!$CL$47=0,0,(E27+($C27*N$4)))</f>
        <v>0</v>
      </c>
      <c r="O27" s="438">
        <f>IF('2.2 Rysäpyynti'!$G$6=0,0,(F27+($C27*$O$4)))</f>
        <v>0</v>
      </c>
      <c r="P27" s="438">
        <f>IF('2.2 Rysäpyynti'!$G$107=0,0,(G27+($C27*$P$4)))</f>
        <v>0</v>
      </c>
      <c r="Q27" s="438">
        <f>IF('4 Myynti'!$CL$116=0,0,(H27+($C27*Q$4)))</f>
        <v>0</v>
      </c>
      <c r="R27" s="438">
        <f>IF('4 Myynti'!$CL$139=0,0,(I27+($C27*R$4)))</f>
        <v>0</v>
      </c>
      <c r="S27" s="426">
        <f>SUM(M27:R27)</f>
        <v>0</v>
      </c>
      <c r="AD27" s="708"/>
      <c r="AE27" s="708"/>
      <c r="AF27" s="708"/>
      <c r="AG27" s="708"/>
      <c r="AH27" s="708"/>
      <c r="AI27" s="708"/>
      <c r="AJ27" s="708"/>
      <c r="AK27" s="708"/>
      <c r="AL27" s="708"/>
      <c r="AM27" s="708"/>
      <c r="AN27" s="708"/>
      <c r="AO27" s="708"/>
      <c r="AP27" s="708"/>
      <c r="AQ27" s="708"/>
      <c r="AR27" s="708"/>
      <c r="AS27" s="708"/>
      <c r="AT27" s="708"/>
      <c r="AU27" s="705"/>
    </row>
    <row r="28" spans="2:48" ht="15" customHeight="1" thickBot="1" x14ac:dyDescent="0.3">
      <c r="B28" s="3" t="s">
        <v>611</v>
      </c>
      <c r="C28" s="1546"/>
      <c r="D28" s="1547"/>
      <c r="E28" s="1547"/>
      <c r="F28" s="1547"/>
      <c r="G28" s="1547"/>
      <c r="H28" s="1548"/>
      <c r="I28" s="1548"/>
      <c r="J28" s="602">
        <f>SUM(C28:I28)</f>
        <v>0</v>
      </c>
      <c r="L28" s="386" t="s">
        <v>611</v>
      </c>
      <c r="M28" s="440">
        <f>IF('4 Myynti'!$CL$24=0,0,(D28+($C28*M$4)))</f>
        <v>0</v>
      </c>
      <c r="N28" s="511">
        <f>IF('4 Myynti'!$CL$47=0,0,(E28+($C28*N$4)))</f>
        <v>0</v>
      </c>
      <c r="O28" s="438">
        <f>IF('2.2 Rysäpyynti'!$G$6=0,0,(F28+($C28*$O$4)))</f>
        <v>0</v>
      </c>
      <c r="P28" s="438">
        <f>IF('2.2 Rysäpyynti'!$G$107=0,0,(G28+($C28*$P$4)))</f>
        <v>0</v>
      </c>
      <c r="Q28" s="438">
        <f>IF('4 Myynti'!$CL$116=0,0,(H28+($C28*Q$4)))</f>
        <v>0</v>
      </c>
      <c r="R28" s="438">
        <f>IF('4 Myynti'!$CL$139=0,0,(I28+($C28*R$4)))</f>
        <v>0</v>
      </c>
      <c r="S28" s="426">
        <f>SUM(M28:R28)</f>
        <v>0</v>
      </c>
      <c r="AD28" s="708"/>
      <c r="AE28" s="708"/>
      <c r="AF28" s="708"/>
      <c r="AG28" s="708"/>
      <c r="AH28" s="708"/>
      <c r="AI28" s="708"/>
      <c r="AJ28" s="708"/>
      <c r="AK28" s="708"/>
      <c r="AL28" s="708"/>
      <c r="AM28" s="708"/>
      <c r="AN28" s="708"/>
      <c r="AO28" s="708"/>
      <c r="AP28" s="708"/>
      <c r="AQ28" s="708"/>
      <c r="AR28" s="708"/>
      <c r="AS28" s="708"/>
      <c r="AT28" s="708"/>
      <c r="AU28" s="705"/>
    </row>
    <row r="29" spans="2:48" s="34" customFormat="1" ht="13.5" thickBot="1" x14ac:dyDescent="0.25">
      <c r="B29" s="382" t="s">
        <v>155</v>
      </c>
      <c r="C29" s="653">
        <f>SUM(C8:C28)</f>
        <v>0</v>
      </c>
      <c r="D29" s="630">
        <f t="shared" ref="D29:I29" si="11">SUM(D8:D28)</f>
        <v>0</v>
      </c>
      <c r="E29" s="630">
        <f>SUM(E8:E28)</f>
        <v>0</v>
      </c>
      <c r="F29" s="630">
        <f t="shared" si="11"/>
        <v>0</v>
      </c>
      <c r="G29" s="630">
        <f>SUM(G8:G28)</f>
        <v>0</v>
      </c>
      <c r="H29" s="631">
        <f>SUM(H8:H28)</f>
        <v>0</v>
      </c>
      <c r="I29" s="631">
        <f t="shared" si="11"/>
        <v>0</v>
      </c>
      <c r="J29" s="629">
        <f>SUM(J8:J28)</f>
        <v>0</v>
      </c>
      <c r="L29" s="61" t="s">
        <v>155</v>
      </c>
      <c r="M29" s="641">
        <f t="shared" ref="M29:S29" si="12">SUM(M8:M28)</f>
        <v>0</v>
      </c>
      <c r="N29" s="643">
        <f t="shared" si="12"/>
        <v>0</v>
      </c>
      <c r="O29" s="643">
        <f t="shared" si="12"/>
        <v>0</v>
      </c>
      <c r="P29" s="643">
        <f t="shared" si="12"/>
        <v>0</v>
      </c>
      <c r="Q29" s="643">
        <f t="shared" si="12"/>
        <v>0</v>
      </c>
      <c r="R29" s="643">
        <f t="shared" si="12"/>
        <v>0</v>
      </c>
      <c r="S29" s="644">
        <f t="shared" si="12"/>
        <v>0</v>
      </c>
      <c r="U29"/>
      <c r="V29"/>
      <c r="W29"/>
      <c r="X29"/>
      <c r="Y29"/>
      <c r="Z29"/>
      <c r="AB29"/>
      <c r="AC29"/>
      <c r="AI29"/>
      <c r="AR29" s="709"/>
      <c r="AS29" s="709"/>
      <c r="AT29" s="709"/>
      <c r="AU29" s="705"/>
      <c r="AV29"/>
    </row>
    <row r="30" spans="2:48" ht="13.5" thickBot="1" x14ac:dyDescent="0.25">
      <c r="C30" s="88"/>
      <c r="D30" s="88"/>
      <c r="E30" s="88"/>
      <c r="F30" s="88"/>
      <c r="G30" s="88"/>
      <c r="H30" s="88"/>
      <c r="I30" s="88"/>
      <c r="J30" s="88"/>
      <c r="AR30" s="705"/>
      <c r="AT30" s="705"/>
      <c r="AU30" s="705"/>
    </row>
    <row r="31" spans="2:48" x14ac:dyDescent="0.2">
      <c r="B31" s="94" t="s">
        <v>414</v>
      </c>
      <c r="C31" s="368" t="s">
        <v>427</v>
      </c>
      <c r="D31" s="1646" t="s">
        <v>412</v>
      </c>
      <c r="E31" s="1647"/>
      <c r="F31" s="1647"/>
      <c r="G31" s="1647"/>
      <c r="H31" s="1647"/>
      <c r="I31" s="1647"/>
      <c r="J31" s="392" t="s">
        <v>144</v>
      </c>
      <c r="L31" s="94" t="s">
        <v>414</v>
      </c>
      <c r="M31" s="1646" t="s">
        <v>412</v>
      </c>
      <c r="N31" s="1647"/>
      <c r="O31" s="1647"/>
      <c r="P31" s="1647"/>
      <c r="Q31" s="1647"/>
      <c r="R31" s="1648"/>
      <c r="S31" s="368" t="s">
        <v>144</v>
      </c>
      <c r="AR31" s="705"/>
      <c r="AS31" s="705"/>
      <c r="AT31" s="705"/>
      <c r="AU31" s="705"/>
    </row>
    <row r="32" spans="2:48" ht="13.5" thickBot="1" x14ac:dyDescent="0.25">
      <c r="B32" s="95"/>
      <c r="C32" s="369" t="s">
        <v>413</v>
      </c>
      <c r="D32" s="390" t="str">
        <f t="shared" ref="D32:I32" si="13">D6</f>
        <v>Verkko1</v>
      </c>
      <c r="E32" s="391" t="str">
        <f t="shared" si="13"/>
        <v>Verkko2</v>
      </c>
      <c r="F32" s="391" t="str">
        <f t="shared" si="13"/>
        <v>Isorysä1</v>
      </c>
      <c r="G32" s="391" t="str">
        <f t="shared" si="13"/>
        <v>Isorysä2</v>
      </c>
      <c r="H32" s="391" t="str">
        <f t="shared" si="13"/>
        <v>PU-rysä1</v>
      </c>
      <c r="I32" s="774" t="str">
        <f t="shared" si="13"/>
        <v>PU-rysä2</v>
      </c>
      <c r="J32" s="393" t="s">
        <v>145</v>
      </c>
      <c r="L32" s="95"/>
      <c r="M32" s="466" t="str">
        <f t="shared" ref="M32:R32" si="14">D32</f>
        <v>Verkko1</v>
      </c>
      <c r="N32" s="465" t="str">
        <f t="shared" si="14"/>
        <v>Verkko2</v>
      </c>
      <c r="O32" s="465" t="str">
        <f t="shared" si="14"/>
        <v>Isorysä1</v>
      </c>
      <c r="P32" s="465" t="str">
        <f t="shared" si="14"/>
        <v>Isorysä2</v>
      </c>
      <c r="Q32" s="465" t="str">
        <f t="shared" si="14"/>
        <v>PU-rysä1</v>
      </c>
      <c r="R32" s="465" t="str">
        <f t="shared" si="14"/>
        <v>PU-rysä2</v>
      </c>
      <c r="S32" s="369" t="s">
        <v>145</v>
      </c>
      <c r="AR32" s="705"/>
      <c r="AS32" s="705"/>
      <c r="AT32" s="705"/>
      <c r="AU32" s="705"/>
    </row>
    <row r="33" spans="2:47" ht="13.5" thickBot="1" x14ac:dyDescent="0.25">
      <c r="B33" s="103" t="s">
        <v>147</v>
      </c>
      <c r="C33" s="394"/>
      <c r="D33" s="99"/>
      <c r="E33" s="99"/>
      <c r="F33" s="98"/>
      <c r="G33" s="101"/>
      <c r="H33" s="98"/>
      <c r="I33" s="99"/>
      <c r="J33" s="773"/>
      <c r="L33" s="103" t="s">
        <v>147</v>
      </c>
      <c r="M33" s="751"/>
      <c r="N33" s="101"/>
      <c r="O33" s="101"/>
      <c r="P33" s="101"/>
      <c r="Q33" s="101"/>
      <c r="R33" s="750"/>
      <c r="S33" s="100"/>
      <c r="AR33" s="705"/>
      <c r="AS33" s="705"/>
      <c r="AT33" s="705"/>
      <c r="AU33" s="705"/>
    </row>
    <row r="34" spans="2:47" ht="13.5" thickBot="1" x14ac:dyDescent="0.25">
      <c r="B34" s="383" t="s">
        <v>142</v>
      </c>
      <c r="C34" s="394"/>
      <c r="D34" s="99"/>
      <c r="E34" s="99"/>
      <c r="F34" s="98"/>
      <c r="G34" s="101"/>
      <c r="H34" s="98"/>
      <c r="I34" s="99"/>
      <c r="J34" s="773"/>
      <c r="L34" s="383" t="s">
        <v>142</v>
      </c>
      <c r="M34" s="751"/>
      <c r="N34" s="101"/>
      <c r="O34" s="101"/>
      <c r="P34" s="101"/>
      <c r="Q34" s="101"/>
      <c r="R34" s="750"/>
      <c r="S34" s="100"/>
      <c r="AR34" s="705"/>
      <c r="AS34" s="705"/>
      <c r="AT34" s="705"/>
      <c r="AU34" s="705"/>
    </row>
    <row r="35" spans="2:47" x14ac:dyDescent="0.2">
      <c r="B35" s="3" t="s">
        <v>124</v>
      </c>
      <c r="C35" s="1541"/>
      <c r="D35" s="1542"/>
      <c r="E35" s="1542"/>
      <c r="F35" s="1542"/>
      <c r="G35" s="1542"/>
      <c r="H35" s="1543"/>
      <c r="I35" s="1550"/>
      <c r="J35" s="628">
        <f>SUM(C35:I35)</f>
        <v>0</v>
      </c>
      <c r="L35" s="386" t="s">
        <v>124</v>
      </c>
      <c r="M35" s="433">
        <f>IF('4 Myynti'!$CL$24=0,0,(D35+($C35*$M$4)))</f>
        <v>0</v>
      </c>
      <c r="N35" s="511">
        <f>IF('4 Myynti'!$CL$47=0,0,(E35+($C35*$N$4)))</f>
        <v>0</v>
      </c>
      <c r="O35" s="438">
        <f>IF('2.2 Rysäpyynti'!$G$6=0,0,(F35+($C35*$O$4)))</f>
        <v>0</v>
      </c>
      <c r="P35" s="438">
        <f>IF('2.2 Rysäpyynti'!$G$107=0,0,(G35+($C35*$P$4)))</f>
        <v>0</v>
      </c>
      <c r="Q35" s="438">
        <f>IF('4 Myynti'!$CL$116=0,0,(H35+($C35*$Q$4)))</f>
        <v>0</v>
      </c>
      <c r="R35" s="438">
        <f>IF('4 Myynti'!$CL$139=0,0,(I35+($C35*$R$4)))</f>
        <v>0</v>
      </c>
      <c r="S35" s="426">
        <f>SUM(M35:R35)</f>
        <v>0</v>
      </c>
      <c r="AR35" s="705"/>
      <c r="AS35" s="705"/>
      <c r="AT35" s="705"/>
      <c r="AU35" s="705"/>
    </row>
    <row r="36" spans="2:47" x14ac:dyDescent="0.2">
      <c r="B36" s="3" t="s">
        <v>140</v>
      </c>
      <c r="C36" s="1541"/>
      <c r="D36" s="1544"/>
      <c r="E36" s="1544"/>
      <c r="F36" s="1544"/>
      <c r="G36" s="1544"/>
      <c r="H36" s="1545"/>
      <c r="I36" s="1551"/>
      <c r="J36" s="602">
        <f>SUM(C36:I36)</f>
        <v>0</v>
      </c>
      <c r="L36" s="386" t="s">
        <v>140</v>
      </c>
      <c r="M36" s="437">
        <f>IF('4 Myynti'!$CL$24=0,0,(D36+($C36*$M$4)))</f>
        <v>0</v>
      </c>
      <c r="N36" s="511">
        <f>IF('4 Myynti'!$CL$47=0,0,(E36+($C36*$N$4)))</f>
        <v>0</v>
      </c>
      <c r="O36" s="438">
        <f>IF('2.2 Rysäpyynti'!$G$6=0,0,(F36+($C36*$O$4)))</f>
        <v>0</v>
      </c>
      <c r="P36" s="438">
        <f>IF('2.2 Rysäpyynti'!$G$107=0,0,(G36+($C36*$P$4)))</f>
        <v>0</v>
      </c>
      <c r="Q36" s="438">
        <f>IF('4 Myynti'!$CL$116=0,0,(H36+($C36*$Q$4)))</f>
        <v>0</v>
      </c>
      <c r="R36" s="438">
        <f>IF('4 Myynti'!$CL$139=0,0,(I36+($C36*$R$4)))</f>
        <v>0</v>
      </c>
      <c r="S36" s="426">
        <f>SUM(M36:R36)</f>
        <v>0</v>
      </c>
      <c r="AR36" s="705"/>
      <c r="AS36" s="705"/>
      <c r="AT36" s="705"/>
      <c r="AU36" s="705"/>
    </row>
    <row r="37" spans="2:47" x14ac:dyDescent="0.2">
      <c r="B37" s="12" t="s">
        <v>528</v>
      </c>
      <c r="C37" s="1546"/>
      <c r="D37" s="1544"/>
      <c r="E37" s="1544"/>
      <c r="F37" s="1544"/>
      <c r="G37" s="1544"/>
      <c r="H37" s="1545"/>
      <c r="I37" s="1551"/>
      <c r="J37" s="602">
        <f>SUM(C37:I37)</f>
        <v>0</v>
      </c>
      <c r="L37" s="1151" t="s">
        <v>528</v>
      </c>
      <c r="M37" s="437">
        <f>IF('4 Myynti'!$CL$24=0,0,(D37+($C37*$M$4)))</f>
        <v>0</v>
      </c>
      <c r="N37" s="511">
        <f>IF('4 Myynti'!$CL$47=0,0,(E37+($C37*$N$4)))</f>
        <v>0</v>
      </c>
      <c r="O37" s="438">
        <f>IF('2.2 Rysäpyynti'!$G$6=0,0,(F37+($C37*$O$4)))</f>
        <v>0</v>
      </c>
      <c r="P37" s="438">
        <f>IF('2.2 Rysäpyynti'!$G$107=0,0,(G37+($C37*$P$4)))</f>
        <v>0</v>
      </c>
      <c r="Q37" s="438">
        <f>IF('4 Myynti'!$CL$116=0,0,(H37+($C37*$Q$4)))</f>
        <v>0</v>
      </c>
      <c r="R37" s="438">
        <f>IF('4 Myynti'!$CL$139=0,0,(I37+($C37*$R$4)))</f>
        <v>0</v>
      </c>
      <c r="S37" s="426">
        <f>SUM(M37:R37)</f>
        <v>0</v>
      </c>
      <c r="AR37" s="705"/>
      <c r="AS37" s="705"/>
      <c r="AT37" s="705"/>
      <c r="AU37" s="705"/>
    </row>
    <row r="38" spans="2:47" ht="13.5" thickBot="1" x14ac:dyDescent="0.25">
      <c r="B38" s="3" t="s">
        <v>141</v>
      </c>
      <c r="C38" s="1546"/>
      <c r="D38" s="1544"/>
      <c r="E38" s="1544"/>
      <c r="F38" s="1544"/>
      <c r="G38" s="1544"/>
      <c r="H38" s="1545"/>
      <c r="I38" s="1551"/>
      <c r="J38" s="602">
        <f>SUM(C38:I38)</f>
        <v>0</v>
      </c>
      <c r="L38" s="386" t="s">
        <v>141</v>
      </c>
      <c r="M38" s="437">
        <f>IF('4 Myynti'!$CL$24=0,0,(D38+($C38*$M$4)))</f>
        <v>0</v>
      </c>
      <c r="N38" s="511">
        <f>IF('4 Myynti'!$CL$47=0,0,(E38+($C38*$N$4)))</f>
        <v>0</v>
      </c>
      <c r="O38" s="438">
        <f>IF('2.2 Rysäpyynti'!$G$6=0,0,(F38+($C38*$O$4)))</f>
        <v>0</v>
      </c>
      <c r="P38" s="438">
        <f>IF('2.2 Rysäpyynti'!$G$107=0,0,(G38+($C38*$P$4)))</f>
        <v>0</v>
      </c>
      <c r="Q38" s="438">
        <f>IF('4 Myynti'!$CL$116=0,0,(H38+($C38*$Q$4)))</f>
        <v>0</v>
      </c>
      <c r="R38" s="438">
        <f>IF('4 Myynti'!$CL$139=0,0,(I38+($C38*$R$4)))</f>
        <v>0</v>
      </c>
      <c r="S38" s="426">
        <f>SUM(M38:R38)</f>
        <v>0</v>
      </c>
      <c r="AR38" s="705"/>
      <c r="AS38" s="705"/>
      <c r="AT38" s="705"/>
      <c r="AU38" s="705"/>
    </row>
    <row r="39" spans="2:47" ht="13.5" thickBot="1" x14ac:dyDescent="0.25">
      <c r="B39" s="384" t="s">
        <v>152</v>
      </c>
      <c r="C39" s="633">
        <f t="shared" ref="C39:I39" si="15">SUM(C35:C38)</f>
        <v>0</v>
      </c>
      <c r="D39" s="611">
        <f t="shared" si="15"/>
        <v>0</v>
      </c>
      <c r="E39" s="611">
        <f t="shared" si="15"/>
        <v>0</v>
      </c>
      <c r="F39" s="611">
        <f t="shared" si="15"/>
        <v>0</v>
      </c>
      <c r="G39" s="611">
        <f t="shared" si="15"/>
        <v>0</v>
      </c>
      <c r="H39" s="612">
        <f t="shared" si="15"/>
        <v>0</v>
      </c>
      <c r="I39" s="768">
        <f t="shared" si="15"/>
        <v>0</v>
      </c>
      <c r="J39" s="610">
        <f>SUM(C39:H39)</f>
        <v>0</v>
      </c>
      <c r="L39" s="384" t="s">
        <v>152</v>
      </c>
      <c r="M39" s="461">
        <f t="shared" ref="M39:R39" si="16">SUM(M35:M38)</f>
        <v>0</v>
      </c>
      <c r="N39" s="503">
        <f t="shared" si="16"/>
        <v>0</v>
      </c>
      <c r="O39" s="453">
        <f t="shared" si="16"/>
        <v>0</v>
      </c>
      <c r="P39" s="453">
        <f t="shared" si="16"/>
        <v>0</v>
      </c>
      <c r="Q39" s="453">
        <f t="shared" si="16"/>
        <v>0</v>
      </c>
      <c r="R39" s="453">
        <f t="shared" si="16"/>
        <v>0</v>
      </c>
      <c r="S39" s="423">
        <f>SUM(M39:R39)</f>
        <v>0</v>
      </c>
      <c r="AR39" s="705"/>
      <c r="AS39" s="705"/>
      <c r="AT39" s="705"/>
      <c r="AU39" s="705"/>
    </row>
    <row r="40" spans="2:47" ht="13.5" thickBot="1" x14ac:dyDescent="0.25">
      <c r="B40" s="382" t="s">
        <v>158</v>
      </c>
      <c r="C40" s="772"/>
      <c r="D40" s="284"/>
      <c r="E40" s="284"/>
      <c r="F40" s="284"/>
      <c r="G40" s="284"/>
      <c r="H40" s="285"/>
      <c r="I40" s="286"/>
      <c r="J40" s="283"/>
      <c r="L40" s="382" t="s">
        <v>158</v>
      </c>
      <c r="M40" s="751"/>
      <c r="N40" s="101"/>
      <c r="O40" s="101"/>
      <c r="P40" s="101"/>
      <c r="Q40" s="101"/>
      <c r="R40" s="750"/>
      <c r="S40" s="100"/>
      <c r="AR40" s="705"/>
      <c r="AS40" s="705"/>
      <c r="AT40" s="705"/>
      <c r="AU40" s="705"/>
    </row>
    <row r="41" spans="2:47" x14ac:dyDescent="0.2">
      <c r="B41" s="3" t="s">
        <v>124</v>
      </c>
      <c r="C41" s="634">
        <f>IF(C54=0,0,'7 Kiinteät kustannukset'!C48/C54)</f>
        <v>0</v>
      </c>
      <c r="D41" s="599">
        <f>IF(D54=0,0,'7 Kiinteät kustannukset'!D48/D54)</f>
        <v>0</v>
      </c>
      <c r="E41" s="600">
        <f>IF(E54=0,0,'7 Kiinteät kustannukset'!E48/E54)</f>
        <v>0</v>
      </c>
      <c r="F41" s="600">
        <f>IF(F54=0,0,'7 Kiinteät kustannukset'!F48/F54)</f>
        <v>0</v>
      </c>
      <c r="G41" s="600">
        <f>IF(G54=0,0,'7 Kiinteät kustannukset'!G48/G54)</f>
        <v>0</v>
      </c>
      <c r="H41" s="600">
        <f>IF(H54=0,0,'7 Kiinteät kustannukset'!H48/H54)</f>
        <v>0</v>
      </c>
      <c r="I41" s="769">
        <f>IF(I54=0,0,'7 Kiinteät kustannukset'!I48/I54)</f>
        <v>0</v>
      </c>
      <c r="J41" s="598">
        <f>SUM(C41:I41)</f>
        <v>0</v>
      </c>
      <c r="L41" s="386" t="s">
        <v>124</v>
      </c>
      <c r="M41" s="437">
        <f>IF('4 Myynti'!$CL$24=0,0,(D41+($C41*$M$4)))</f>
        <v>0</v>
      </c>
      <c r="N41" s="511">
        <f>IF('4 Myynti'!$CL$47=0,0,(E41+($C41*$N$4)))</f>
        <v>0</v>
      </c>
      <c r="O41" s="438">
        <f>IF('2.2 Rysäpyynti'!$G$6=0,0,(F41+($C41*$O$4)))</f>
        <v>0</v>
      </c>
      <c r="P41" s="438">
        <f>IF('2.2 Rysäpyynti'!$G$107=0,0,(G41+($C41*$P$4)))</f>
        <v>0</v>
      </c>
      <c r="Q41" s="438">
        <f>IF('4 Myynti'!$CL$116=0,0,(H41+($C41*$Q$4)))</f>
        <v>0</v>
      </c>
      <c r="R41" s="438">
        <f>IF('4 Myynti'!$CL$139=0,0,(I41+($C41*$R$4)))</f>
        <v>0</v>
      </c>
      <c r="S41" s="426">
        <f>SUM(M41:R41)</f>
        <v>0</v>
      </c>
      <c r="AR41" s="705"/>
      <c r="AS41" s="705"/>
      <c r="AT41" s="705"/>
      <c r="AU41" s="705"/>
    </row>
    <row r="42" spans="2:47" x14ac:dyDescent="0.2">
      <c r="B42" s="3" t="s">
        <v>140</v>
      </c>
      <c r="C42" s="635">
        <f>IF(C55=0,0,'7 Kiinteät kustannukset'!C49/C55)</f>
        <v>0</v>
      </c>
      <c r="D42" s="603">
        <f>IF(D55=0,0,'7 Kiinteät kustannukset'!D49/D55)</f>
        <v>0</v>
      </c>
      <c r="E42" s="604">
        <f>IF(E55=0,0,'7 Kiinteät kustannukset'!E49/E55)</f>
        <v>0</v>
      </c>
      <c r="F42" s="604">
        <f>IF(F55=0,0,'7 Kiinteät kustannukset'!F49/F55)</f>
        <v>0</v>
      </c>
      <c r="G42" s="604">
        <f>IF(G55=0,0,'7 Kiinteät kustannukset'!G49/G55)</f>
        <v>0</v>
      </c>
      <c r="H42" s="604">
        <f>IF(H55=0,0,'7 Kiinteät kustannukset'!H49/H55)</f>
        <v>0</v>
      </c>
      <c r="I42" s="770">
        <f>IF(I55=0,0,'7 Kiinteät kustannukset'!I49/I55)</f>
        <v>0</v>
      </c>
      <c r="J42" s="602">
        <f>SUM(C42:I42)</f>
        <v>0</v>
      </c>
      <c r="L42" s="386" t="s">
        <v>140</v>
      </c>
      <c r="M42" s="437">
        <f>IF('4 Myynti'!$CL$24=0,0,(D42+($C42*$M$4)))</f>
        <v>0</v>
      </c>
      <c r="N42" s="511">
        <f>IF('4 Myynti'!$CL$47=0,0,(E42+($C42*$N$4)))</f>
        <v>0</v>
      </c>
      <c r="O42" s="438">
        <f>IF('2.2 Rysäpyynti'!$G$6=0,0,(F42+($C42*$O$4)))</f>
        <v>0</v>
      </c>
      <c r="P42" s="438">
        <f>IF('2.2 Rysäpyynti'!$G$107=0,0,(G42+($C42*$P$4)))</f>
        <v>0</v>
      </c>
      <c r="Q42" s="438">
        <f>IF('4 Myynti'!$CL$116=0,0,(H42+($C42*$Q$4)))</f>
        <v>0</v>
      </c>
      <c r="R42" s="438">
        <f>IF('4 Myynti'!$CL$139=0,0,(I42+($C42*$R$4)))</f>
        <v>0</v>
      </c>
      <c r="S42" s="426">
        <f>SUM(M42:R42)</f>
        <v>0</v>
      </c>
      <c r="AR42" s="705"/>
      <c r="AS42" s="705"/>
      <c r="AT42" s="705"/>
      <c r="AU42" s="705"/>
    </row>
    <row r="43" spans="2:47" x14ac:dyDescent="0.2">
      <c r="B43" s="12" t="s">
        <v>528</v>
      </c>
      <c r="C43" s="635">
        <f>IF(C56=0,0,'7 Kiinteät kustannukset'!C50/C56)</f>
        <v>0</v>
      </c>
      <c r="D43" s="603">
        <f>IF(D56=0,0,'7 Kiinteät kustannukset'!D50/D56)</f>
        <v>0</v>
      </c>
      <c r="E43" s="604">
        <f>IF(E56=0,0,'7 Kiinteät kustannukset'!E50/E56)</f>
        <v>0</v>
      </c>
      <c r="F43" s="604">
        <f>IF(F56=0,0,'7 Kiinteät kustannukset'!F50/F56)</f>
        <v>0</v>
      </c>
      <c r="G43" s="604">
        <f>IF(G56=0,0,'7 Kiinteät kustannukset'!G50/G56)</f>
        <v>0</v>
      </c>
      <c r="H43" s="604">
        <f>IF(H56=0,0,'7 Kiinteät kustannukset'!H50/H56)</f>
        <v>0</v>
      </c>
      <c r="I43" s="770">
        <f>IF(I56=0,0,'7 Kiinteät kustannukset'!I50/I56)</f>
        <v>0</v>
      </c>
      <c r="J43" s="602">
        <f>SUM(C43:I43)</f>
        <v>0</v>
      </c>
      <c r="L43" s="1151" t="s">
        <v>528</v>
      </c>
      <c r="M43" s="437">
        <f>IF('4 Myynti'!$CL$24=0,0,(D43+($C43*$M$4)))</f>
        <v>0</v>
      </c>
      <c r="N43" s="511">
        <f>IF('4 Myynti'!$CL$47=0,0,(E43+($C43*$N$4)))</f>
        <v>0</v>
      </c>
      <c r="O43" s="438">
        <f>IF('2.2 Rysäpyynti'!$G$6=0,0,(F43+($C43*$O$4)))</f>
        <v>0</v>
      </c>
      <c r="P43" s="438">
        <f>IF('2.2 Rysäpyynti'!$G$107=0,0,(G43+($C43*$P$4)))</f>
        <v>0</v>
      </c>
      <c r="Q43" s="438">
        <f>IF('4 Myynti'!$CL$116=0,0,(H43+($C43*$Q$4)))</f>
        <v>0</v>
      </c>
      <c r="R43" s="438">
        <f>IF('4 Myynti'!$CL$139=0,0,(I43+($C43*$R$4)))</f>
        <v>0</v>
      </c>
      <c r="S43" s="426">
        <f>SUM(M43:R43)</f>
        <v>0</v>
      </c>
      <c r="AR43" s="705"/>
      <c r="AS43" s="705"/>
      <c r="AT43" s="705"/>
      <c r="AU43" s="705"/>
    </row>
    <row r="44" spans="2:47" ht="13.5" thickBot="1" x14ac:dyDescent="0.25">
      <c r="B44" s="3" t="s">
        <v>153</v>
      </c>
      <c r="C44" s="637">
        <f>IF(C57=0,0,'7 Kiinteät kustannukset'!C51/C57)</f>
        <v>0</v>
      </c>
      <c r="D44" s="687">
        <f>IF(D57=0,0,'7 Kiinteät kustannukset'!D51/D57)</f>
        <v>0</v>
      </c>
      <c r="E44" s="638">
        <f>IF(E57=0,0,'7 Kiinteät kustannukset'!E51/E57)</f>
        <v>0</v>
      </c>
      <c r="F44" s="638">
        <f>IF(F57=0,0,'7 Kiinteät kustannukset'!F51/F57)</f>
        <v>0</v>
      </c>
      <c r="G44" s="638">
        <f>IF(G57=0,0,'7 Kiinteät kustannukset'!G51/G57)</f>
        <v>0</v>
      </c>
      <c r="H44" s="638">
        <f>IF(H57=0,0,'7 Kiinteät kustannukset'!H51/H57)</f>
        <v>0</v>
      </c>
      <c r="I44" s="771">
        <f>IF(I57=0,0,'7 Kiinteät kustannukset'!I51/I57)</f>
        <v>0</v>
      </c>
      <c r="J44" s="636">
        <f>SUM(C44:I44)</f>
        <v>0</v>
      </c>
      <c r="L44" s="386" t="s">
        <v>153</v>
      </c>
      <c r="M44" s="437">
        <f>IF('4 Myynti'!$CL$24=0,0,(D44+($C44*$M$4)))</f>
        <v>0</v>
      </c>
      <c r="N44" s="511">
        <f>IF('4 Myynti'!$CL$47=0,0,(E44+($C44*$N$4)))</f>
        <v>0</v>
      </c>
      <c r="O44" s="438">
        <f>IF('2.2 Rysäpyynti'!$G$6=0,0,(F44+($C44*$O$4)))</f>
        <v>0</v>
      </c>
      <c r="P44" s="438">
        <f>IF('2.2 Rysäpyynti'!$G$107=0,0,(G44+($C44*$P$4)))</f>
        <v>0</v>
      </c>
      <c r="Q44" s="438">
        <f>IF('4 Myynti'!$CL$116=0,0,(H44+($C44*$Q$4)))</f>
        <v>0</v>
      </c>
      <c r="R44" s="438">
        <f>IF('4 Myynti'!$CL$139=0,0,(I44+($C44*$R$4)))</f>
        <v>0</v>
      </c>
      <c r="S44" s="426">
        <f>SUM(M44:R44)</f>
        <v>0</v>
      </c>
      <c r="AR44" s="705"/>
      <c r="AS44" s="705"/>
      <c r="AT44" s="705"/>
      <c r="AU44" s="705"/>
    </row>
    <row r="45" spans="2:47" ht="13.5" thickBot="1" x14ac:dyDescent="0.25">
      <c r="B45" s="93" t="s">
        <v>143</v>
      </c>
      <c r="C45" s="633">
        <f>SUM(C41:C44)</f>
        <v>0</v>
      </c>
      <c r="D45" s="611">
        <f t="shared" ref="D45:I45" si="17">SUM(D41:D44)</f>
        <v>0</v>
      </c>
      <c r="E45" s="612">
        <f t="shared" si="17"/>
        <v>0</v>
      </c>
      <c r="F45" s="612">
        <f t="shared" si="17"/>
        <v>0</v>
      </c>
      <c r="G45" s="612">
        <f t="shared" si="17"/>
        <v>0</v>
      </c>
      <c r="H45" s="612">
        <f>SUM(H41:H44)</f>
        <v>0</v>
      </c>
      <c r="I45" s="768">
        <f t="shared" si="17"/>
        <v>0</v>
      </c>
      <c r="J45" s="610">
        <f>SUM(J41:J44)</f>
        <v>0</v>
      </c>
      <c r="L45" s="389" t="s">
        <v>143</v>
      </c>
      <c r="M45" s="461">
        <f t="shared" ref="M45:R45" si="18">SUM(M41:M44)</f>
        <v>0</v>
      </c>
      <c r="N45" s="503">
        <f t="shared" si="18"/>
        <v>0</v>
      </c>
      <c r="O45" s="453">
        <f t="shared" si="18"/>
        <v>0</v>
      </c>
      <c r="P45" s="453">
        <f t="shared" si="18"/>
        <v>0</v>
      </c>
      <c r="Q45" s="453">
        <f t="shared" si="18"/>
        <v>0</v>
      </c>
      <c r="R45" s="453">
        <f t="shared" si="18"/>
        <v>0</v>
      </c>
      <c r="S45" s="423">
        <f>SUM(M45:R45)</f>
        <v>0</v>
      </c>
      <c r="AR45" s="705"/>
      <c r="AS45" s="705"/>
      <c r="AT45" s="705"/>
      <c r="AU45" s="705"/>
    </row>
    <row r="46" spans="2:47" ht="13.5" thickBot="1" x14ac:dyDescent="0.25">
      <c r="B46" s="385" t="s">
        <v>154</v>
      </c>
      <c r="C46" s="653">
        <f>C45+C39</f>
        <v>0</v>
      </c>
      <c r="D46" s="630">
        <f t="shared" ref="D46:I46" si="19">D45+D39</f>
        <v>0</v>
      </c>
      <c r="E46" s="631">
        <f t="shared" si="19"/>
        <v>0</v>
      </c>
      <c r="F46" s="631">
        <f>F45+F39</f>
        <v>0</v>
      </c>
      <c r="G46" s="631">
        <f t="shared" si="19"/>
        <v>0</v>
      </c>
      <c r="H46" s="631">
        <f t="shared" si="19"/>
        <v>0</v>
      </c>
      <c r="I46" s="632">
        <f t="shared" si="19"/>
        <v>0</v>
      </c>
      <c r="J46" s="629">
        <f>J45+J39</f>
        <v>0</v>
      </c>
      <c r="L46" s="385" t="s">
        <v>154</v>
      </c>
      <c r="M46" s="642">
        <f t="shared" ref="M46:S46" si="20">M45+M39</f>
        <v>0</v>
      </c>
      <c r="N46" s="912">
        <f t="shared" si="20"/>
        <v>0</v>
      </c>
      <c r="O46" s="643">
        <f t="shared" si="20"/>
        <v>0</v>
      </c>
      <c r="P46" s="643">
        <f t="shared" si="20"/>
        <v>0</v>
      </c>
      <c r="Q46" s="643">
        <f t="shared" si="20"/>
        <v>0</v>
      </c>
      <c r="R46" s="643">
        <f t="shared" si="20"/>
        <v>0</v>
      </c>
      <c r="S46" s="644">
        <f t="shared" si="20"/>
        <v>0</v>
      </c>
      <c r="AR46" s="705"/>
      <c r="AS46" s="705"/>
      <c r="AT46" s="705"/>
      <c r="AU46" s="705"/>
    </row>
    <row r="47" spans="2:47" ht="13.5" thickBot="1" x14ac:dyDescent="0.25">
      <c r="B47" s="382" t="s">
        <v>276</v>
      </c>
      <c r="C47" s="395"/>
      <c r="D47" s="99"/>
      <c r="E47" s="99"/>
      <c r="F47" s="98"/>
      <c r="G47" s="101"/>
      <c r="H47" s="98"/>
      <c r="I47" s="99"/>
      <c r="J47" s="773"/>
      <c r="L47" s="382" t="s">
        <v>276</v>
      </c>
      <c r="M47" s="751"/>
      <c r="N47" s="101"/>
      <c r="O47" s="101"/>
      <c r="P47" s="101"/>
      <c r="Q47" s="101"/>
      <c r="R47" s="750"/>
      <c r="S47" s="100"/>
      <c r="AD47" s="705"/>
      <c r="AE47" s="705"/>
      <c r="AF47" s="705"/>
      <c r="AG47" s="705"/>
      <c r="AH47" s="705"/>
      <c r="AI47" s="705"/>
      <c r="AJ47" s="705"/>
      <c r="AK47" s="705"/>
      <c r="AL47" s="705"/>
      <c r="AM47" s="705"/>
      <c r="AN47" s="705"/>
      <c r="AO47" s="705"/>
      <c r="AP47" s="705"/>
      <c r="AQ47" s="705"/>
      <c r="AR47" s="705"/>
      <c r="AS47" s="705"/>
      <c r="AT47" s="705"/>
      <c r="AU47" s="705"/>
    </row>
    <row r="48" spans="2:47" ht="14.25" customHeight="1" x14ac:dyDescent="0.2">
      <c r="B48" s="3" t="s">
        <v>124</v>
      </c>
      <c r="C48" s="1549"/>
      <c r="D48" s="1552"/>
      <c r="E48" s="1553"/>
      <c r="F48" s="1542"/>
      <c r="G48" s="1542"/>
      <c r="H48" s="1543"/>
      <c r="I48" s="1550"/>
      <c r="J48" s="628">
        <f>SUM(C48:I48)</f>
        <v>0</v>
      </c>
      <c r="L48" s="386" t="s">
        <v>124</v>
      </c>
      <c r="M48" s="437">
        <f>IF('4 Myynti'!$CL$24=0,0,(D48+($C48*$M$4)))</f>
        <v>0</v>
      </c>
      <c r="N48" s="511">
        <f>IF('4 Myynti'!$CL$47=0,0,(E48+($C48*$N$4)))</f>
        <v>0</v>
      </c>
      <c r="O48" s="438">
        <f>IF('2.2 Rysäpyynti'!$G$6=0,0,(F48+($C48*$O$4)))</f>
        <v>0</v>
      </c>
      <c r="P48" s="438">
        <f>IF('2.2 Rysäpyynti'!$G$107=0,0,(G48+($C48*$P$4)))</f>
        <v>0</v>
      </c>
      <c r="Q48" s="438">
        <f>IF('4 Myynti'!$CL$116=0,0,(H48+($C48*$Q$4)))</f>
        <v>0</v>
      </c>
      <c r="R48" s="438">
        <f>IF('4 Myynti'!$CL$139=0,0,(I48+($C48*$R$4)))</f>
        <v>0</v>
      </c>
      <c r="S48" s="426">
        <f>SUM(M48:R48)</f>
        <v>0</v>
      </c>
      <c r="AD48" s="705"/>
      <c r="AE48" s="705"/>
      <c r="AF48" s="705"/>
      <c r="AG48" s="705"/>
      <c r="AH48" s="705"/>
      <c r="AI48" s="705"/>
      <c r="AJ48" s="705"/>
      <c r="AK48" s="705"/>
      <c r="AL48" s="705"/>
      <c r="AM48" s="705"/>
      <c r="AN48" s="705"/>
      <c r="AO48" s="705"/>
      <c r="AP48" s="705"/>
      <c r="AQ48" s="705"/>
      <c r="AR48" s="705"/>
      <c r="AS48" s="705"/>
      <c r="AT48" s="705"/>
      <c r="AU48" s="705"/>
    </row>
    <row r="49" spans="2:47" ht="18" x14ac:dyDescent="0.25">
      <c r="B49" s="3" t="s">
        <v>140</v>
      </c>
      <c r="C49" s="1541"/>
      <c r="D49" s="1552"/>
      <c r="E49" s="1543"/>
      <c r="F49" s="1542"/>
      <c r="G49" s="1542"/>
      <c r="H49" s="1543"/>
      <c r="I49" s="1550"/>
      <c r="J49" s="628">
        <f>SUM(C49:I49)</f>
        <v>0</v>
      </c>
      <c r="L49" s="386" t="s">
        <v>140</v>
      </c>
      <c r="M49" s="437">
        <f>IF('4 Myynti'!$CL$24=0,0,(D49+($C49*$M$4)))</f>
        <v>0</v>
      </c>
      <c r="N49" s="511">
        <f>IF('4 Myynti'!$CL$47=0,0,(E49+($C49*$N$4)))</f>
        <v>0</v>
      </c>
      <c r="O49" s="438">
        <f>IF('2.2 Rysäpyynti'!$G$6=0,0,(F49+($C49*$O$4)))</f>
        <v>0</v>
      </c>
      <c r="P49" s="438">
        <f>IF('2.2 Rysäpyynti'!$G$107=0,0,(G49+($C49*$P$4)))</f>
        <v>0</v>
      </c>
      <c r="Q49" s="438">
        <f>IF('4 Myynti'!$CL$116=0,0,(H49+($C49*$Q$4)))</f>
        <v>0</v>
      </c>
      <c r="R49" s="438">
        <f>IF('4 Myynti'!$CL$139=0,0,(I49+($C49*$R$4)))</f>
        <v>0</v>
      </c>
      <c r="S49" s="426">
        <f>SUM(M49:R49)</f>
        <v>0</v>
      </c>
      <c r="AD49" s="705"/>
      <c r="AE49" s="705"/>
      <c r="AF49" s="708" t="str">
        <f>Z5</f>
        <v>PU-rysä1</v>
      </c>
      <c r="AG49" s="705"/>
      <c r="AH49" s="705"/>
      <c r="AI49" s="705"/>
      <c r="AJ49" s="705"/>
      <c r="AK49" s="705"/>
      <c r="AL49" s="705"/>
      <c r="AM49" s="705"/>
      <c r="AN49" s="708" t="str">
        <f>AA5</f>
        <v>PU-rysä2</v>
      </c>
      <c r="AO49" s="705"/>
      <c r="AP49" s="705"/>
      <c r="AQ49" s="705"/>
      <c r="AR49" s="705"/>
      <c r="AS49" s="705"/>
      <c r="AT49" s="705"/>
      <c r="AU49" s="705"/>
    </row>
    <row r="50" spans="2:47" x14ac:dyDescent="0.2">
      <c r="B50" s="12" t="s">
        <v>528</v>
      </c>
      <c r="C50" s="1541"/>
      <c r="D50" s="1554"/>
      <c r="E50" s="1548"/>
      <c r="F50" s="1547"/>
      <c r="G50" s="1547"/>
      <c r="H50" s="1548"/>
      <c r="I50" s="1555"/>
      <c r="J50" s="606">
        <f>SUM(C50:I50)</f>
        <v>0</v>
      </c>
      <c r="L50" s="1151" t="s">
        <v>528</v>
      </c>
      <c r="M50" s="437">
        <f>IF('4 Myynti'!$CL$24=0,0,(D50+($C50*$M$4)))</f>
        <v>0</v>
      </c>
      <c r="N50" s="511">
        <f>IF('4 Myynti'!$CL$47=0,0,(E50+($C50*$N$4)))</f>
        <v>0</v>
      </c>
      <c r="O50" s="438">
        <f>IF('2.2 Rysäpyynti'!$G$6=0,0,(F50+($C50*$O$4)))</f>
        <v>0</v>
      </c>
      <c r="P50" s="438">
        <f>IF('2.2 Rysäpyynti'!$G$107=0,0,(G50+($C50*$P$4)))</f>
        <v>0</v>
      </c>
      <c r="Q50" s="438">
        <f>IF('4 Myynti'!$CL$116=0,0,(H50+($C50*$Q$4)))</f>
        <v>0</v>
      </c>
      <c r="R50" s="438">
        <f>IF('4 Myynti'!$CL$139=0,0,(I50+($C50*$R$4)))</f>
        <v>0</v>
      </c>
      <c r="S50" s="426">
        <f>SUM(M50:R50)</f>
        <v>0</v>
      </c>
      <c r="AD50" s="705"/>
      <c r="AE50" s="705"/>
      <c r="AF50" s="705"/>
      <c r="AG50" s="705"/>
      <c r="AH50" s="705"/>
      <c r="AI50" s="705"/>
      <c r="AJ50" s="705"/>
      <c r="AK50" s="705"/>
      <c r="AL50" s="705"/>
      <c r="AM50" s="705"/>
      <c r="AN50" s="705"/>
      <c r="AO50" s="705"/>
      <c r="AP50" s="705"/>
      <c r="AQ50" s="705"/>
      <c r="AR50" s="705"/>
      <c r="AS50" s="705"/>
      <c r="AT50" s="705"/>
      <c r="AU50" s="705"/>
    </row>
    <row r="51" spans="2:47" ht="13.5" thickBot="1" x14ac:dyDescent="0.25">
      <c r="B51" s="3" t="s">
        <v>298</v>
      </c>
      <c r="C51" s="1556"/>
      <c r="D51" s="1554"/>
      <c r="E51" s="1557"/>
      <c r="F51" s="1547"/>
      <c r="G51" s="1547"/>
      <c r="H51" s="1548"/>
      <c r="I51" s="1555"/>
      <c r="J51" s="606">
        <f>SUM(C51:I51)</f>
        <v>0</v>
      </c>
      <c r="L51" s="386" t="s">
        <v>298</v>
      </c>
      <c r="M51" s="437">
        <f>IF('4 Myynti'!$CL$24=0,0,(D51+($C51*$M$4)))</f>
        <v>0</v>
      </c>
      <c r="N51" s="511">
        <f>IF('4 Myynti'!$CL$47=0,0,(E51+($C51*$N$4)))</f>
        <v>0</v>
      </c>
      <c r="O51" s="438">
        <f>IF('2.2 Rysäpyynti'!$G$6=0,0,(F51+($C51*$O$4)))</f>
        <v>0</v>
      </c>
      <c r="P51" s="438">
        <f>IF('2.2 Rysäpyynti'!$G$107=0,0,(G51+($C51*$P$4)))</f>
        <v>0</v>
      </c>
      <c r="Q51" s="438">
        <f>IF('4 Myynti'!$CL$116=0,0,(H51+($C51*$Q$4)))</f>
        <v>0</v>
      </c>
      <c r="R51" s="438">
        <f>IF('4 Myynti'!$CL$139=0,0,(I51+($C51*$R$4)))</f>
        <v>0</v>
      </c>
      <c r="S51" s="426">
        <f>SUM(M51:R51)</f>
        <v>0</v>
      </c>
      <c r="AD51" s="705"/>
      <c r="AE51" s="705"/>
      <c r="AF51" s="705"/>
      <c r="AG51" s="705"/>
      <c r="AH51" s="705"/>
      <c r="AI51" s="705"/>
      <c r="AJ51" s="705"/>
      <c r="AK51" s="705"/>
      <c r="AL51" s="705"/>
      <c r="AM51" s="705"/>
      <c r="AN51" s="705"/>
      <c r="AO51" s="705"/>
      <c r="AP51" s="705"/>
      <c r="AQ51" s="705"/>
      <c r="AR51" s="705"/>
      <c r="AS51" s="705"/>
      <c r="AT51" s="705"/>
      <c r="AU51" s="705"/>
    </row>
    <row r="52" spans="2:47" ht="13.5" thickBot="1" x14ac:dyDescent="0.25">
      <c r="B52" s="100" t="s">
        <v>146</v>
      </c>
      <c r="C52" s="633">
        <f t="shared" ref="C52:J52" si="21">SUM(C48:C51)</f>
        <v>0</v>
      </c>
      <c r="D52" s="611">
        <f t="shared" si="21"/>
        <v>0</v>
      </c>
      <c r="E52" s="612">
        <f t="shared" si="21"/>
        <v>0</v>
      </c>
      <c r="F52" s="612">
        <f t="shared" si="21"/>
        <v>0</v>
      </c>
      <c r="G52" s="612">
        <f t="shared" si="21"/>
        <v>0</v>
      </c>
      <c r="H52" s="612">
        <f t="shared" si="21"/>
        <v>0</v>
      </c>
      <c r="I52" s="768">
        <f t="shared" si="21"/>
        <v>0</v>
      </c>
      <c r="J52" s="610">
        <f t="shared" si="21"/>
        <v>0</v>
      </c>
      <c r="L52" s="388" t="s">
        <v>146</v>
      </c>
      <c r="M52" s="461">
        <f t="shared" ref="M52:S52" si="22">SUM(M48:M51)</f>
        <v>0</v>
      </c>
      <c r="N52" s="487">
        <f t="shared" si="22"/>
        <v>0</v>
      </c>
      <c r="O52" s="488">
        <f t="shared" si="22"/>
        <v>0</v>
      </c>
      <c r="P52" s="488">
        <f t="shared" si="22"/>
        <v>0</v>
      </c>
      <c r="Q52" s="488">
        <f t="shared" si="22"/>
        <v>0</v>
      </c>
      <c r="R52" s="488">
        <f t="shared" si="22"/>
        <v>0</v>
      </c>
      <c r="S52" s="427">
        <f t="shared" si="22"/>
        <v>0</v>
      </c>
      <c r="AR52" s="705"/>
      <c r="AS52" s="705"/>
      <c r="AT52" s="705"/>
      <c r="AU52" s="705"/>
    </row>
    <row r="53" spans="2:47" ht="13.5" thickBot="1" x14ac:dyDescent="0.25">
      <c r="B53" s="382" t="s">
        <v>157</v>
      </c>
      <c r="C53" s="772"/>
      <c r="D53" s="285"/>
      <c r="E53" s="285"/>
      <c r="F53" s="775"/>
      <c r="G53" s="775"/>
      <c r="H53" s="285"/>
      <c r="I53" s="288"/>
      <c r="J53" s="287"/>
      <c r="L53" s="382"/>
      <c r="M53" s="754"/>
      <c r="N53" s="31"/>
      <c r="O53" s="31"/>
      <c r="P53" s="31"/>
      <c r="Q53" s="31"/>
      <c r="R53" s="174"/>
      <c r="S53" s="172"/>
      <c r="AR53" s="705"/>
      <c r="AT53" s="705"/>
      <c r="AU53" s="705"/>
    </row>
    <row r="54" spans="2:47" x14ac:dyDescent="0.2">
      <c r="B54" s="3" t="s">
        <v>124</v>
      </c>
      <c r="C54" s="1549"/>
      <c r="D54" s="1542"/>
      <c r="E54" s="1542"/>
      <c r="F54" s="1542"/>
      <c r="G54" s="1542"/>
      <c r="H54" s="1543"/>
      <c r="I54" s="1550"/>
      <c r="J54" s="289"/>
      <c r="L54" s="386"/>
      <c r="M54" s="755"/>
      <c r="N54" s="756"/>
      <c r="O54" s="757"/>
      <c r="P54" s="757"/>
      <c r="Q54" s="756"/>
      <c r="R54" s="762"/>
      <c r="S54" s="765"/>
      <c r="AR54" s="705"/>
      <c r="AS54" s="705"/>
      <c r="AT54" s="705"/>
      <c r="AU54" s="705"/>
    </row>
    <row r="55" spans="2:47" x14ac:dyDescent="0.2">
      <c r="B55" s="3" t="s">
        <v>140</v>
      </c>
      <c r="C55" s="1541"/>
      <c r="D55" s="1542"/>
      <c r="E55" s="1542"/>
      <c r="F55" s="1542"/>
      <c r="G55" s="1542"/>
      <c r="H55" s="1543"/>
      <c r="I55" s="1550"/>
      <c r="J55" s="289"/>
      <c r="L55" s="386"/>
      <c r="M55" s="758"/>
      <c r="N55" s="753"/>
      <c r="O55" s="464"/>
      <c r="P55" s="464"/>
      <c r="Q55" s="753"/>
      <c r="R55" s="763"/>
      <c r="S55" s="766"/>
      <c r="AR55" s="705"/>
      <c r="AS55" s="705"/>
      <c r="AT55" s="705"/>
      <c r="AU55" s="705"/>
    </row>
    <row r="56" spans="2:47" x14ac:dyDescent="0.2">
      <c r="B56" s="12" t="s">
        <v>528</v>
      </c>
      <c r="C56" s="1546"/>
      <c r="D56" s="1547"/>
      <c r="E56" s="1547"/>
      <c r="F56" s="1547"/>
      <c r="G56" s="1547"/>
      <c r="H56" s="1548"/>
      <c r="I56" s="1555"/>
      <c r="J56" s="290"/>
      <c r="L56" s="1151" t="s">
        <v>1</v>
      </c>
      <c r="M56" s="758"/>
      <c r="N56" s="753"/>
      <c r="O56" s="464"/>
      <c r="P56" s="464"/>
      <c r="Q56" s="753"/>
      <c r="R56" s="763"/>
      <c r="S56" s="766"/>
      <c r="AR56" s="705"/>
      <c r="AS56" s="705"/>
      <c r="AT56" s="705"/>
      <c r="AU56" s="705"/>
    </row>
    <row r="57" spans="2:47" ht="13.5" thickBot="1" x14ac:dyDescent="0.25">
      <c r="B57" s="3" t="s">
        <v>153</v>
      </c>
      <c r="C57" s="1546"/>
      <c r="D57" s="1547"/>
      <c r="E57" s="1547"/>
      <c r="F57" s="1558"/>
      <c r="G57" s="1547"/>
      <c r="H57" s="1548"/>
      <c r="I57" s="1555"/>
      <c r="J57" s="290"/>
      <c r="L57" s="386"/>
      <c r="M57" s="759"/>
      <c r="N57" s="760"/>
      <c r="O57" s="761"/>
      <c r="P57" s="761"/>
      <c r="Q57" s="761"/>
      <c r="R57" s="764"/>
      <c r="S57" s="767"/>
      <c r="AR57" s="705"/>
      <c r="AS57" s="705"/>
      <c r="AT57" s="705"/>
      <c r="AU57" s="705"/>
    </row>
    <row r="58" spans="2:47" x14ac:dyDescent="0.2">
      <c r="B58" s="94" t="s">
        <v>414</v>
      </c>
      <c r="C58" s="368" t="s">
        <v>427</v>
      </c>
      <c r="D58" s="1652" t="s">
        <v>631</v>
      </c>
      <c r="E58" s="1653"/>
      <c r="F58" s="1653"/>
      <c r="G58" s="1653"/>
      <c r="H58" s="1653"/>
      <c r="I58" s="1653"/>
      <c r="J58" s="392" t="s">
        <v>144</v>
      </c>
      <c r="L58" s="94" t="s">
        <v>414</v>
      </c>
      <c r="M58" s="1646" t="s">
        <v>616</v>
      </c>
      <c r="N58" s="1647"/>
      <c r="O58" s="1647"/>
      <c r="P58" s="1647"/>
      <c r="Q58" s="1647"/>
      <c r="R58" s="1648"/>
      <c r="S58" s="369" t="s">
        <v>144</v>
      </c>
      <c r="AR58" s="705"/>
      <c r="AS58" s="705"/>
      <c r="AT58" s="705"/>
      <c r="AU58" s="705"/>
    </row>
    <row r="59" spans="2:47" ht="13.5" thickBot="1" x14ac:dyDescent="0.25">
      <c r="B59" s="95"/>
      <c r="C59" s="369" t="s">
        <v>413</v>
      </c>
      <c r="D59" s="390" t="str">
        <f t="shared" ref="D59:I59" si="23">D32</f>
        <v>Verkko1</v>
      </c>
      <c r="E59" s="391" t="str">
        <f t="shared" si="23"/>
        <v>Verkko2</v>
      </c>
      <c r="F59" s="391" t="str">
        <f t="shared" si="23"/>
        <v>Isorysä1</v>
      </c>
      <c r="G59" s="391" t="str">
        <f t="shared" si="23"/>
        <v>Isorysä2</v>
      </c>
      <c r="H59" s="391" t="str">
        <f t="shared" si="23"/>
        <v>PU-rysä1</v>
      </c>
      <c r="I59" s="774" t="str">
        <f t="shared" si="23"/>
        <v>PU-rysä2</v>
      </c>
      <c r="J59" s="393" t="s">
        <v>145</v>
      </c>
      <c r="L59" s="95"/>
      <c r="M59" s="466" t="str">
        <f t="shared" ref="M59:R59" si="24">M32</f>
        <v>Verkko1</v>
      </c>
      <c r="N59" s="465" t="str">
        <f t="shared" si="24"/>
        <v>Verkko2</v>
      </c>
      <c r="O59" s="465" t="str">
        <f t="shared" si="24"/>
        <v>Isorysä1</v>
      </c>
      <c r="P59" s="465" t="str">
        <f t="shared" si="24"/>
        <v>Isorysä2</v>
      </c>
      <c r="Q59" s="465" t="str">
        <f t="shared" si="24"/>
        <v>PU-rysä1</v>
      </c>
      <c r="R59" s="465" t="str">
        <f t="shared" si="24"/>
        <v>PU-rysä2</v>
      </c>
      <c r="S59" s="369" t="s">
        <v>145</v>
      </c>
      <c r="AR59" s="705"/>
      <c r="AS59" s="705"/>
      <c r="AT59" s="705"/>
      <c r="AU59" s="705"/>
    </row>
    <row r="60" spans="2:47" ht="13.5" thickBot="1" x14ac:dyDescent="0.25">
      <c r="B60" s="61" t="s">
        <v>148</v>
      </c>
      <c r="C60" s="394"/>
      <c r="D60" s="99"/>
      <c r="E60" s="99"/>
      <c r="F60" s="98"/>
      <c r="G60" s="101"/>
      <c r="H60" s="98"/>
      <c r="I60" s="99"/>
      <c r="J60" s="773"/>
      <c r="L60" s="61" t="s">
        <v>148</v>
      </c>
      <c r="M60" s="751"/>
      <c r="N60" s="101"/>
      <c r="O60" s="101"/>
      <c r="P60" s="101"/>
      <c r="Q60" s="101"/>
      <c r="R60" s="750"/>
      <c r="S60" s="100"/>
      <c r="AR60" s="705"/>
      <c r="AS60" s="705"/>
      <c r="AT60" s="705"/>
      <c r="AU60" s="705"/>
    </row>
    <row r="61" spans="2:47" ht="13.5" thickBot="1" x14ac:dyDescent="0.25">
      <c r="B61" s="382" t="s">
        <v>415</v>
      </c>
      <c r="C61" s="394"/>
      <c r="D61" s="99"/>
      <c r="E61" s="99"/>
      <c r="F61" s="98"/>
      <c r="G61" s="101"/>
      <c r="H61" s="98"/>
      <c r="I61" s="99"/>
      <c r="J61" s="773"/>
      <c r="L61" s="382" t="s">
        <v>415</v>
      </c>
      <c r="M61" s="751"/>
      <c r="N61" s="101"/>
      <c r="O61" s="101"/>
      <c r="P61" s="101"/>
      <c r="Q61" s="101"/>
      <c r="R61" s="750"/>
      <c r="S61" s="100"/>
      <c r="AR61" s="705"/>
      <c r="AS61" s="705"/>
      <c r="AT61" s="705"/>
      <c r="AU61" s="705"/>
    </row>
    <row r="62" spans="2:47" x14ac:dyDescent="0.2">
      <c r="B62" s="3" t="s">
        <v>124</v>
      </c>
      <c r="C62" s="1541"/>
      <c r="D62" s="1542"/>
      <c r="E62" s="1542"/>
      <c r="F62" s="1559"/>
      <c r="G62" s="1542"/>
      <c r="H62" s="1543"/>
      <c r="I62" s="1550"/>
      <c r="J62" s="628">
        <f>SUM(C62:I62)</f>
        <v>0</v>
      </c>
      <c r="L62" s="386" t="s">
        <v>124</v>
      </c>
      <c r="M62" s="433">
        <f>IF('4 Myynti'!$CL$24=0,0,(D62+($C62*$M$4)))</f>
        <v>0</v>
      </c>
      <c r="N62" s="511">
        <f>IF('4 Myynti'!$CL$47=0,0,(E62+($C62*$N$4)))</f>
        <v>0</v>
      </c>
      <c r="O62" s="438">
        <f>IF('2.2 Rysäpyynti'!$G$6=0,0,(F62+($C62*$O$4)))</f>
        <v>0</v>
      </c>
      <c r="P62" s="438">
        <f>IF('2.2 Rysäpyynti'!$G$107=0,0,(G62+($C62*$P$4)))</f>
        <v>0</v>
      </c>
      <c r="Q62" s="438">
        <f>IF('4 Myynti'!$CL$116=0,0,(H62+($C62*$Q$4)))</f>
        <v>0</v>
      </c>
      <c r="R62" s="438">
        <f>IF('4 Myynti'!$CL$139=0,0,(I62+($C62*$R$4)))</f>
        <v>0</v>
      </c>
      <c r="S62" s="426">
        <f>SUM(M62:R62)</f>
        <v>0</v>
      </c>
      <c r="AR62" s="705"/>
      <c r="AS62" s="705"/>
      <c r="AT62" s="705"/>
      <c r="AU62" s="705"/>
    </row>
    <row r="63" spans="2:47" x14ac:dyDescent="0.2">
      <c r="B63" s="3" t="s">
        <v>140</v>
      </c>
      <c r="C63" s="1541"/>
      <c r="D63" s="1542"/>
      <c r="E63" s="1542"/>
      <c r="F63" s="1542"/>
      <c r="G63" s="1542"/>
      <c r="H63" s="1543"/>
      <c r="I63" s="1550"/>
      <c r="J63" s="628">
        <f>SUM(C63:I63)</f>
        <v>0</v>
      </c>
      <c r="L63" s="386" t="s">
        <v>140</v>
      </c>
      <c r="M63" s="437">
        <f>IF('4 Myynti'!$CL$24=0,0,(D63+($C63*$M$4)))</f>
        <v>0</v>
      </c>
      <c r="N63" s="511">
        <f>IF('4 Myynti'!$CL$47=0,0,(E63+($C63*$N$4)))</f>
        <v>0</v>
      </c>
      <c r="O63" s="438">
        <f>IF('2.2 Rysäpyynti'!$G$6=0,0,(F63+($C63*$O$4)))</f>
        <v>0</v>
      </c>
      <c r="P63" s="438">
        <f>IF('2.2 Rysäpyynti'!$G$107=0,0,(G63+($C63*$P$4)))</f>
        <v>0</v>
      </c>
      <c r="Q63" s="438">
        <f>IF('4 Myynti'!$CL$116=0,0,(H63+($C63*$Q$4)))</f>
        <v>0</v>
      </c>
      <c r="R63" s="438">
        <f>IF('4 Myynti'!$CL$139=0,0,(I63+($C63*$R$4)))</f>
        <v>0</v>
      </c>
      <c r="S63" s="426">
        <f>SUM(M63:R63)</f>
        <v>0</v>
      </c>
      <c r="AR63" s="705"/>
      <c r="AS63" s="705"/>
      <c r="AT63" s="705"/>
      <c r="AU63" s="705"/>
    </row>
    <row r="64" spans="2:47" x14ac:dyDescent="0.2">
      <c r="B64" s="12" t="s">
        <v>528</v>
      </c>
      <c r="C64" s="1546"/>
      <c r="D64" s="1547"/>
      <c r="E64" s="1547"/>
      <c r="F64" s="1547"/>
      <c r="G64" s="1547"/>
      <c r="H64" s="1548"/>
      <c r="I64" s="1555"/>
      <c r="J64" s="606">
        <f>SUM(C64:I64)</f>
        <v>0</v>
      </c>
      <c r="L64" s="1151" t="s">
        <v>528</v>
      </c>
      <c r="M64" s="437">
        <f>IF('4 Myynti'!$CL$24=0,0,(D64+($C64*$M$4)))</f>
        <v>0</v>
      </c>
      <c r="N64" s="511">
        <f>IF('4 Myynti'!$CL$47=0,0,(E64+($C64*$N$4)))</f>
        <v>0</v>
      </c>
      <c r="O64" s="438">
        <f>IF('2.2 Rysäpyynti'!$G$6=0,0,(F64+($C64*$O$4)))</f>
        <v>0</v>
      </c>
      <c r="P64" s="438">
        <f>IF('2.2 Rysäpyynti'!$G$107=0,0,(G64+($C64*$P$4)))</f>
        <v>0</v>
      </c>
      <c r="Q64" s="438">
        <f>IF('4 Myynti'!$CL$116=0,0,(H64+($C64*$Q$4)))</f>
        <v>0</v>
      </c>
      <c r="R64" s="438">
        <f>IF('4 Myynti'!$CL$139=0,0,(I64+($C64*$R$4)))</f>
        <v>0</v>
      </c>
      <c r="S64" s="426">
        <f>SUM(M64:R64)</f>
        <v>0</v>
      </c>
      <c r="AU64" s="705"/>
    </row>
    <row r="65" spans="2:47" ht="13.5" thickBot="1" x14ac:dyDescent="0.25">
      <c r="B65" s="3" t="s">
        <v>605</v>
      </c>
      <c r="C65" s="1546"/>
      <c r="D65" s="1547"/>
      <c r="E65" s="1547"/>
      <c r="F65" s="1558"/>
      <c r="G65" s="1547"/>
      <c r="H65" s="1548"/>
      <c r="I65" s="1555"/>
      <c r="J65" s="606">
        <f>SUM(C65:I65)</f>
        <v>0</v>
      </c>
      <c r="L65" s="386" t="s">
        <v>605</v>
      </c>
      <c r="M65" s="437">
        <f>IF('4 Myynti'!$CL$24=0,0,(D65+($C65*$M$4)))</f>
        <v>0</v>
      </c>
      <c r="N65" s="511">
        <f>IF('4 Myynti'!$CL$47=0,0,(E65+($C65*$N$4)))</f>
        <v>0</v>
      </c>
      <c r="O65" s="438">
        <f>IF('2.2 Rysäpyynti'!$G$6=0,0,(F65+($C65*$O$4)))</f>
        <v>0</v>
      </c>
      <c r="P65" s="438">
        <f>IF('2.2 Rysäpyynti'!$G$107=0,0,(G65+($C65*$P$4)))</f>
        <v>0</v>
      </c>
      <c r="Q65" s="438">
        <f>IF('4 Myynti'!$CL$116=0,0,(H65+($C65*$Q$4)))</f>
        <v>0</v>
      </c>
      <c r="R65" s="438">
        <f>IF('4 Myynti'!$CL$139=0,0,(I65+($C65*$R$4)))</f>
        <v>0</v>
      </c>
      <c r="S65" s="426">
        <f>SUM(M65:R65)</f>
        <v>0</v>
      </c>
      <c r="AU65" s="705"/>
    </row>
    <row r="66" spans="2:47" ht="13.5" thickBot="1" x14ac:dyDescent="0.25">
      <c r="B66" s="1405" t="s">
        <v>613</v>
      </c>
      <c r="C66" s="633">
        <f t="shared" ref="C66:J66" si="25">SUM(C62:C65)</f>
        <v>0</v>
      </c>
      <c r="D66" s="611">
        <f t="shared" si="25"/>
        <v>0</v>
      </c>
      <c r="E66" s="612">
        <f t="shared" si="25"/>
        <v>0</v>
      </c>
      <c r="F66" s="612">
        <f t="shared" si="25"/>
        <v>0</v>
      </c>
      <c r="G66" s="612">
        <f t="shared" si="25"/>
        <v>0</v>
      </c>
      <c r="H66" s="612">
        <f t="shared" si="25"/>
        <v>0</v>
      </c>
      <c r="I66" s="768">
        <f t="shared" si="25"/>
        <v>0</v>
      </c>
      <c r="J66" s="610">
        <f t="shared" si="25"/>
        <v>0</v>
      </c>
      <c r="L66" s="1343" t="s">
        <v>613</v>
      </c>
      <c r="M66" s="528">
        <f t="shared" ref="M66:S66" si="26">SUM(M62:M65)</f>
        <v>0</v>
      </c>
      <c r="N66" s="487">
        <f t="shared" si="26"/>
        <v>0</v>
      </c>
      <c r="O66" s="488">
        <f t="shared" si="26"/>
        <v>0</v>
      </c>
      <c r="P66" s="488">
        <f t="shared" si="26"/>
        <v>0</v>
      </c>
      <c r="Q66" s="488">
        <f t="shared" si="26"/>
        <v>0</v>
      </c>
      <c r="R66" s="488">
        <f t="shared" si="26"/>
        <v>0</v>
      </c>
      <c r="S66" s="427">
        <f t="shared" si="26"/>
        <v>0</v>
      </c>
      <c r="AU66" s="705"/>
    </row>
    <row r="67" spans="2:47" ht="13.5" thickBot="1" x14ac:dyDescent="0.25">
      <c r="B67" s="385" t="s">
        <v>612</v>
      </c>
      <c r="C67" s="394"/>
      <c r="D67" s="99"/>
      <c r="E67" s="99"/>
      <c r="F67" s="98"/>
      <c r="G67" s="101"/>
      <c r="H67" s="98"/>
      <c r="I67" s="99"/>
      <c r="J67" s="773"/>
      <c r="L67" s="385" t="s">
        <v>615</v>
      </c>
      <c r="M67" s="751"/>
      <c r="N67" s="101"/>
      <c r="O67" s="101"/>
      <c r="P67" s="101"/>
      <c r="Q67" s="101"/>
      <c r="R67" s="750"/>
      <c r="S67" s="100"/>
      <c r="AU67" s="705"/>
    </row>
    <row r="68" spans="2:47" x14ac:dyDescent="0.2">
      <c r="B68" s="3" t="s">
        <v>124</v>
      </c>
      <c r="C68" s="634">
        <f>C75*C48</f>
        <v>0</v>
      </c>
      <c r="D68" s="599">
        <f t="shared" ref="C68:I71" si="27">D75*D48</f>
        <v>0</v>
      </c>
      <c r="E68" s="600">
        <f t="shared" si="27"/>
        <v>0</v>
      </c>
      <c r="F68" s="600">
        <f t="shared" si="27"/>
        <v>0</v>
      </c>
      <c r="G68" s="600">
        <f t="shared" si="27"/>
        <v>0</v>
      </c>
      <c r="H68" s="600">
        <f t="shared" si="27"/>
        <v>0</v>
      </c>
      <c r="I68" s="769">
        <f t="shared" si="27"/>
        <v>0</v>
      </c>
      <c r="J68" s="598">
        <f>SUM(C68:I68)</f>
        <v>0</v>
      </c>
      <c r="L68" s="386" t="s">
        <v>124</v>
      </c>
      <c r="M68" s="437">
        <f>IF('4 Myynti'!$CL$24=0,0,(D68+($C68*$M$4)))</f>
        <v>0</v>
      </c>
      <c r="N68" s="511">
        <f>IF('4 Myynti'!$CL$47=0,0,(E68+($C68*$N$4)))</f>
        <v>0</v>
      </c>
      <c r="O68" s="438">
        <f>IF('2.2 Rysäpyynti'!$G$6=0,0,(F68+($C68*$O$4)))</f>
        <v>0</v>
      </c>
      <c r="P68" s="438">
        <f>IF('2.2 Rysäpyynti'!$G$107=0,0,(G68+($C68*$P$4)))</f>
        <v>0</v>
      </c>
      <c r="Q68" s="438">
        <f>IF('4 Myynti'!$CL$116=0,0,(H68+($C68*$Q$4)))</f>
        <v>0</v>
      </c>
      <c r="R68" s="438">
        <f>IF('4 Myynti'!$CL$139=0,0,(I68+($C68*$R$4)))</f>
        <v>0</v>
      </c>
      <c r="S68" s="426">
        <f>SUM(M68:R68)</f>
        <v>0</v>
      </c>
      <c r="AU68" s="705"/>
    </row>
    <row r="69" spans="2:47" x14ac:dyDescent="0.2">
      <c r="B69" s="3" t="s">
        <v>140</v>
      </c>
      <c r="C69" s="635">
        <f>C76*C49</f>
        <v>0</v>
      </c>
      <c r="D69" s="603">
        <f t="shared" si="27"/>
        <v>0</v>
      </c>
      <c r="E69" s="604">
        <f t="shared" si="27"/>
        <v>0</v>
      </c>
      <c r="F69" s="604">
        <f t="shared" si="27"/>
        <v>0</v>
      </c>
      <c r="G69" s="604">
        <f t="shared" si="27"/>
        <v>0</v>
      </c>
      <c r="H69" s="604">
        <f t="shared" si="27"/>
        <v>0</v>
      </c>
      <c r="I69" s="770">
        <f t="shared" si="27"/>
        <v>0</v>
      </c>
      <c r="J69" s="602">
        <f>SUM(C69:I69)</f>
        <v>0</v>
      </c>
      <c r="L69" s="386" t="s">
        <v>140</v>
      </c>
      <c r="M69" s="437">
        <f>IF('4 Myynti'!$CL$24=0,0,(D69+($C69*$M$4)))</f>
        <v>0</v>
      </c>
      <c r="N69" s="511">
        <f>IF('4 Myynti'!$CL$47=0,0,(E69+($C69*$N$4)))</f>
        <v>0</v>
      </c>
      <c r="O69" s="438">
        <f>IF('2.2 Rysäpyynti'!$G$6=0,0,(F69+($C69*$O$4)))</f>
        <v>0</v>
      </c>
      <c r="P69" s="438">
        <f>IF('2.2 Rysäpyynti'!$G$107=0,0,(G69+($C69*$P$4)))</f>
        <v>0</v>
      </c>
      <c r="Q69" s="438">
        <f>IF('4 Myynti'!$CL$116=0,0,(H69+($C69*$Q$4)))</f>
        <v>0</v>
      </c>
      <c r="R69" s="438">
        <f>IF('4 Myynti'!$CL$139=0,0,(I69+($C69*$R$4)))</f>
        <v>0</v>
      </c>
      <c r="S69" s="426">
        <f>SUM(M69:R69)</f>
        <v>0</v>
      </c>
      <c r="AU69" s="705"/>
    </row>
    <row r="70" spans="2:47" x14ac:dyDescent="0.2">
      <c r="B70" s="12" t="s">
        <v>528</v>
      </c>
      <c r="C70" s="635">
        <f>C77*C50</f>
        <v>0</v>
      </c>
      <c r="D70" s="603">
        <f t="shared" si="27"/>
        <v>0</v>
      </c>
      <c r="E70" s="604">
        <f t="shared" si="27"/>
        <v>0</v>
      </c>
      <c r="F70" s="604">
        <f t="shared" si="27"/>
        <v>0</v>
      </c>
      <c r="G70" s="604">
        <f t="shared" si="27"/>
        <v>0</v>
      </c>
      <c r="H70" s="604">
        <f t="shared" si="27"/>
        <v>0</v>
      </c>
      <c r="I70" s="770">
        <f>I77*I50</f>
        <v>0</v>
      </c>
      <c r="J70" s="602">
        <f>SUM(C70:I70)</f>
        <v>0</v>
      </c>
      <c r="L70" s="1151" t="s">
        <v>528</v>
      </c>
      <c r="M70" s="437">
        <f>IF('4 Myynti'!$CL$24=0,0,(D70+($C70*$M$4)))</f>
        <v>0</v>
      </c>
      <c r="N70" s="511">
        <f>IF('4 Myynti'!$CL$47=0,0,(E70+($C70*$N$4)))</f>
        <v>0</v>
      </c>
      <c r="O70" s="438">
        <f>IF('2.2 Rysäpyynti'!$G$6=0,0,(F70+($C70*$O$4)))</f>
        <v>0</v>
      </c>
      <c r="P70" s="438">
        <f>IF('2.2 Rysäpyynti'!$G$107=0,0,(G70+($C70*$P$4)))</f>
        <v>0</v>
      </c>
      <c r="Q70" s="438">
        <f>IF('4 Myynti'!$CL$116=0,0,(H70+($C70*$Q$4)))</f>
        <v>0</v>
      </c>
      <c r="R70" s="438">
        <f>IF('4 Myynti'!$CL$139=0,0,(I70+($C70*$R$4)))</f>
        <v>0</v>
      </c>
      <c r="S70" s="426">
        <f>SUM(M70:R70)</f>
        <v>0</v>
      </c>
      <c r="AU70" s="705"/>
    </row>
    <row r="71" spans="2:47" ht="13.5" thickBot="1" x14ac:dyDescent="0.25">
      <c r="B71" s="3" t="s">
        <v>298</v>
      </c>
      <c r="C71" s="637">
        <f t="shared" si="27"/>
        <v>0</v>
      </c>
      <c r="D71" s="687">
        <f>D78*D51</f>
        <v>0</v>
      </c>
      <c r="E71" s="638">
        <f t="shared" si="27"/>
        <v>0</v>
      </c>
      <c r="F71" s="638">
        <f t="shared" si="27"/>
        <v>0</v>
      </c>
      <c r="G71" s="638">
        <f t="shared" si="27"/>
        <v>0</v>
      </c>
      <c r="H71" s="638">
        <f t="shared" si="27"/>
        <v>0</v>
      </c>
      <c r="I71" s="771">
        <f t="shared" si="27"/>
        <v>0</v>
      </c>
      <c r="J71" s="636">
        <f>SUM(C71:I71)</f>
        <v>0</v>
      </c>
      <c r="L71" s="386" t="s">
        <v>298</v>
      </c>
      <c r="M71" s="437">
        <f>IF('4 Myynti'!$CL$24=0,0,(D71+($C71*$M$4)))</f>
        <v>0</v>
      </c>
      <c r="N71" s="511">
        <f>IF('4 Myynti'!$CL$47=0,0,(E71+($C71*$N$4)))</f>
        <v>0</v>
      </c>
      <c r="O71" s="438">
        <f>IF('2.2 Rysäpyynti'!$G$6=0,0,(F71+($C71*$O$4)))</f>
        <v>0</v>
      </c>
      <c r="P71" s="438">
        <f>IF('2.2 Rysäpyynti'!$G$107=0,0,(G71+($C71*$P$4)))</f>
        <v>0</v>
      </c>
      <c r="Q71" s="438">
        <f>IF('4 Myynti'!$CL$116=0,0,(H71+($C71*$Q$4)))</f>
        <v>0</v>
      </c>
      <c r="R71" s="438">
        <f>IF('4 Myynti'!$CL$139=0,0,(I71+($C71*$R$4)))</f>
        <v>0</v>
      </c>
      <c r="S71" s="426">
        <f>SUM(M71:R71)</f>
        <v>0</v>
      </c>
      <c r="AU71" s="705"/>
    </row>
    <row r="72" spans="2:47" ht="13.5" thickBot="1" x14ac:dyDescent="0.25">
      <c r="B72" s="1405" t="s">
        <v>614</v>
      </c>
      <c r="C72" s="633">
        <f>SUM(C68:C71)</f>
        <v>0</v>
      </c>
      <c r="D72" s="611">
        <f t="shared" ref="D72:I72" si="28">SUM(D68:D71)</f>
        <v>0</v>
      </c>
      <c r="E72" s="612">
        <f t="shared" si="28"/>
        <v>0</v>
      </c>
      <c r="F72" s="612">
        <f t="shared" si="28"/>
        <v>0</v>
      </c>
      <c r="G72" s="612">
        <f t="shared" si="28"/>
        <v>0</v>
      </c>
      <c r="H72" s="612">
        <f t="shared" si="28"/>
        <v>0</v>
      </c>
      <c r="I72" s="768">
        <f t="shared" si="28"/>
        <v>0</v>
      </c>
      <c r="J72" s="610">
        <f>SUM(J68:J71)</f>
        <v>0</v>
      </c>
      <c r="L72" s="1343" t="s">
        <v>614</v>
      </c>
      <c r="M72" s="528">
        <f>SUM(M68:M71)</f>
        <v>0</v>
      </c>
      <c r="N72" s="487">
        <f t="shared" ref="N72:R72" si="29">SUM(N68:N71)</f>
        <v>0</v>
      </c>
      <c r="O72" s="488">
        <f t="shared" si="29"/>
        <v>0</v>
      </c>
      <c r="P72" s="488">
        <f t="shared" si="29"/>
        <v>0</v>
      </c>
      <c r="Q72" s="488">
        <f t="shared" si="29"/>
        <v>0</v>
      </c>
      <c r="R72" s="488">
        <f t="shared" si="29"/>
        <v>0</v>
      </c>
      <c r="S72" s="427">
        <f>SUM(S68:S71)</f>
        <v>0</v>
      </c>
    </row>
    <row r="73" spans="2:47" ht="13.5" thickBot="1" x14ac:dyDescent="0.25">
      <c r="B73" s="385" t="s">
        <v>416</v>
      </c>
      <c r="C73" s="653">
        <f>C66+C72</f>
        <v>0</v>
      </c>
      <c r="D73" s="630">
        <f t="shared" ref="D73:I73" si="30">D66+D72</f>
        <v>0</v>
      </c>
      <c r="E73" s="631">
        <f t="shared" si="30"/>
        <v>0</v>
      </c>
      <c r="F73" s="631">
        <f t="shared" si="30"/>
        <v>0</v>
      </c>
      <c r="G73" s="631">
        <f>G66+G72</f>
        <v>0</v>
      </c>
      <c r="H73" s="631">
        <f>H66+H72</f>
        <v>0</v>
      </c>
      <c r="I73" s="632">
        <f t="shared" si="30"/>
        <v>0</v>
      </c>
      <c r="J73" s="629">
        <f>J66+J72</f>
        <v>0</v>
      </c>
      <c r="L73" s="385" t="s">
        <v>416</v>
      </c>
      <c r="M73" s="642">
        <f>M66+M72</f>
        <v>0</v>
      </c>
      <c r="N73" s="912">
        <f t="shared" ref="N73:S73" si="31">N66+N72</f>
        <v>0</v>
      </c>
      <c r="O73" s="643">
        <f>O66+O72</f>
        <v>0</v>
      </c>
      <c r="P73" s="643">
        <f t="shared" si="31"/>
        <v>0</v>
      </c>
      <c r="Q73" s="643">
        <f t="shared" si="31"/>
        <v>0</v>
      </c>
      <c r="R73" s="643">
        <f t="shared" si="31"/>
        <v>0</v>
      </c>
      <c r="S73" s="644">
        <f t="shared" si="31"/>
        <v>0</v>
      </c>
    </row>
    <row r="74" spans="2:47" ht="13.5" thickBot="1" x14ac:dyDescent="0.25">
      <c r="B74" s="385" t="s">
        <v>156</v>
      </c>
      <c r="C74" s="1371"/>
      <c r="D74" s="1372"/>
      <c r="E74" s="1372"/>
      <c r="F74" s="1373"/>
      <c r="G74" s="1374"/>
      <c r="H74" s="1373"/>
      <c r="I74" s="1375"/>
      <c r="J74" s="773"/>
      <c r="L74" s="385"/>
      <c r="M74" s="751"/>
      <c r="N74" s="101"/>
      <c r="O74" s="101"/>
      <c r="P74" s="101"/>
      <c r="Q74" s="101"/>
      <c r="R74" s="750"/>
      <c r="S74" s="100"/>
    </row>
    <row r="75" spans="2:47" x14ac:dyDescent="0.2">
      <c r="B75" s="3" t="s">
        <v>124</v>
      </c>
      <c r="C75" s="1560">
        <v>0</v>
      </c>
      <c r="D75" s="1561">
        <v>0</v>
      </c>
      <c r="E75" s="1561">
        <v>0</v>
      </c>
      <c r="F75" s="1561">
        <v>0</v>
      </c>
      <c r="G75" s="1561">
        <v>0</v>
      </c>
      <c r="H75" s="1561">
        <v>0</v>
      </c>
      <c r="I75" s="1562">
        <v>0</v>
      </c>
      <c r="J75" s="1368">
        <f>IF(J48=0,0,J68/J48)</f>
        <v>0</v>
      </c>
      <c r="L75" s="386"/>
      <c r="M75" s="755"/>
      <c r="N75" s="756"/>
      <c r="O75" s="757"/>
      <c r="P75" s="757"/>
      <c r="Q75" s="756"/>
      <c r="R75" s="762"/>
      <c r="S75" s="765"/>
    </row>
    <row r="76" spans="2:47" x14ac:dyDescent="0.2">
      <c r="B76" s="3" t="s">
        <v>140</v>
      </c>
      <c r="C76" s="1563">
        <v>0</v>
      </c>
      <c r="D76" s="1564">
        <v>0</v>
      </c>
      <c r="E76" s="1564">
        <v>0</v>
      </c>
      <c r="F76" s="1564">
        <v>0</v>
      </c>
      <c r="G76" s="1564">
        <v>0</v>
      </c>
      <c r="H76" s="1564">
        <v>0</v>
      </c>
      <c r="I76" s="1565">
        <v>0</v>
      </c>
      <c r="J76" s="1369">
        <f>IF(J49=0,0,J69/J49)</f>
        <v>0</v>
      </c>
      <c r="L76" s="386"/>
      <c r="M76" s="758"/>
      <c r="N76" s="753"/>
      <c r="O76" s="464"/>
      <c r="P76" s="464"/>
      <c r="Q76" s="753"/>
      <c r="R76" s="763"/>
      <c r="S76" s="766"/>
    </row>
    <row r="77" spans="2:47" x14ac:dyDescent="0.2">
      <c r="B77" s="12" t="s">
        <v>528</v>
      </c>
      <c r="C77" s="1563">
        <v>0</v>
      </c>
      <c r="D77" s="1564">
        <v>0</v>
      </c>
      <c r="E77" s="1564">
        <v>0</v>
      </c>
      <c r="F77" s="1564">
        <v>0</v>
      </c>
      <c r="G77" s="1564">
        <v>0</v>
      </c>
      <c r="H77" s="1564">
        <v>0</v>
      </c>
      <c r="I77" s="1565">
        <v>0</v>
      </c>
      <c r="J77" s="1369">
        <f>IF(J50=0,0,J70/J50)</f>
        <v>0</v>
      </c>
      <c r="L77" s="386"/>
      <c r="M77" s="758"/>
      <c r="N77" s="753"/>
      <c r="O77" s="464"/>
      <c r="P77" s="464"/>
      <c r="Q77" s="753"/>
      <c r="R77" s="763"/>
      <c r="S77" s="766"/>
    </row>
    <row r="78" spans="2:47" ht="13.5" thickBot="1" x14ac:dyDescent="0.25">
      <c r="B78" s="3" t="s">
        <v>298</v>
      </c>
      <c r="C78" s="1566">
        <v>0</v>
      </c>
      <c r="D78" s="1567">
        <v>0</v>
      </c>
      <c r="E78" s="1567">
        <v>0</v>
      </c>
      <c r="F78" s="1567">
        <v>0</v>
      </c>
      <c r="G78" s="1567">
        <v>0</v>
      </c>
      <c r="H78" s="1567">
        <v>0</v>
      </c>
      <c r="I78" s="1568">
        <v>0</v>
      </c>
      <c r="J78" s="1370">
        <f>IF(J51=0,0,J71/J51)</f>
        <v>0</v>
      </c>
      <c r="L78" s="386"/>
      <c r="M78" s="759"/>
      <c r="N78" s="760"/>
      <c r="O78" s="761"/>
      <c r="P78" s="761"/>
      <c r="Q78" s="761"/>
      <c r="R78" s="764"/>
      <c r="S78" s="767"/>
    </row>
    <row r="79" spans="2:47" ht="13.5" thickBot="1" x14ac:dyDescent="0.25">
      <c r="B79" s="93" t="s">
        <v>149</v>
      </c>
      <c r="C79" s="1376">
        <f t="shared" ref="C79:I79" si="32">IF(C52=0,0,C72/C52)</f>
        <v>0</v>
      </c>
      <c r="D79" s="1377">
        <f t="shared" si="32"/>
        <v>0</v>
      </c>
      <c r="E79" s="1378">
        <f t="shared" si="32"/>
        <v>0</v>
      </c>
      <c r="F79" s="1378">
        <f t="shared" si="32"/>
        <v>0</v>
      </c>
      <c r="G79" s="1378">
        <f t="shared" si="32"/>
        <v>0</v>
      </c>
      <c r="H79" s="1378">
        <f t="shared" si="32"/>
        <v>0</v>
      </c>
      <c r="I79" s="1379">
        <f t="shared" si="32"/>
        <v>0</v>
      </c>
      <c r="J79" s="1380">
        <f>IF(J52=0,0,J72/J52)</f>
        <v>0</v>
      </c>
      <c r="L79" s="388"/>
      <c r="M79" s="751"/>
      <c r="N79" s="101"/>
      <c r="O79" s="101"/>
      <c r="P79" s="101"/>
      <c r="Q79" s="101"/>
      <c r="R79" s="750"/>
      <c r="S79" s="100"/>
    </row>
    <row r="80" spans="2:47" ht="15" customHeight="1" thickBot="1" x14ac:dyDescent="0.25">
      <c r="B80" s="385" t="s">
        <v>417</v>
      </c>
      <c r="C80" s="653">
        <f>C46+C73</f>
        <v>0</v>
      </c>
      <c r="D80" s="630">
        <f t="shared" ref="D80:J80" si="33">D46+D73</f>
        <v>0</v>
      </c>
      <c r="E80" s="631">
        <f t="shared" si="33"/>
        <v>0</v>
      </c>
      <c r="F80" s="631">
        <f t="shared" si="33"/>
        <v>0</v>
      </c>
      <c r="G80" s="631">
        <f t="shared" si="33"/>
        <v>0</v>
      </c>
      <c r="H80" s="631">
        <f t="shared" si="33"/>
        <v>0</v>
      </c>
      <c r="I80" s="632">
        <f t="shared" si="33"/>
        <v>0</v>
      </c>
      <c r="J80" s="629">
        <f t="shared" si="33"/>
        <v>0</v>
      </c>
      <c r="L80" s="385" t="s">
        <v>417</v>
      </c>
      <c r="M80" s="641">
        <f>M46+M73</f>
        <v>0</v>
      </c>
      <c r="N80" s="643">
        <f t="shared" ref="N80:S80" si="34">N46+N73</f>
        <v>0</v>
      </c>
      <c r="O80" s="643">
        <f t="shared" si="34"/>
        <v>0</v>
      </c>
      <c r="P80" s="643">
        <f t="shared" si="34"/>
        <v>0</v>
      </c>
      <c r="Q80" s="643">
        <f t="shared" si="34"/>
        <v>0</v>
      </c>
      <c r="R80" s="643">
        <f t="shared" si="34"/>
        <v>0</v>
      </c>
      <c r="S80" s="644">
        <f t="shared" si="34"/>
        <v>0</v>
      </c>
    </row>
    <row r="81" spans="2:19" ht="13.5" thickBot="1" x14ac:dyDescent="0.25"/>
    <row r="82" spans="2:19" x14ac:dyDescent="0.2">
      <c r="B82" s="94" t="s">
        <v>262</v>
      </c>
      <c r="C82" s="368" t="s">
        <v>261</v>
      </c>
      <c r="D82" s="1646" t="s">
        <v>429</v>
      </c>
      <c r="E82" s="1647"/>
      <c r="F82" s="1647"/>
      <c r="G82" s="1647"/>
      <c r="H82" s="1647"/>
      <c r="I82" s="1648"/>
      <c r="J82" s="368" t="s">
        <v>144</v>
      </c>
    </row>
    <row r="83" spans="2:19" ht="13.5" thickBot="1" x14ac:dyDescent="0.25">
      <c r="B83" s="95"/>
      <c r="C83" s="369"/>
      <c r="D83" s="390" t="str">
        <f t="shared" ref="D83:I83" si="35">D59</f>
        <v>Verkko1</v>
      </c>
      <c r="E83" s="391" t="str">
        <f t="shared" si="35"/>
        <v>Verkko2</v>
      </c>
      <c r="F83" s="391" t="str">
        <f t="shared" si="35"/>
        <v>Isorysä1</v>
      </c>
      <c r="G83" s="391" t="str">
        <f t="shared" si="35"/>
        <v>Isorysä2</v>
      </c>
      <c r="H83" s="391" t="str">
        <f t="shared" si="35"/>
        <v>PU-rysä1</v>
      </c>
      <c r="I83" s="774" t="str">
        <f t="shared" si="35"/>
        <v>PU-rysä2</v>
      </c>
      <c r="J83" s="369" t="s">
        <v>263</v>
      </c>
    </row>
    <row r="84" spans="2:19" ht="13.5" thickBot="1" x14ac:dyDescent="0.25">
      <c r="B84" s="382" t="s">
        <v>423</v>
      </c>
      <c r="C84" s="394"/>
      <c r="D84" s="99"/>
      <c r="E84" s="99"/>
      <c r="F84" s="101"/>
      <c r="G84" s="101"/>
      <c r="H84" s="98"/>
      <c r="I84" s="98"/>
      <c r="J84" s="38"/>
    </row>
    <row r="85" spans="2:19" x14ac:dyDescent="0.2">
      <c r="B85" s="386" t="s">
        <v>124</v>
      </c>
      <c r="C85" s="1569"/>
      <c r="D85" s="1570"/>
      <c r="E85" s="1571"/>
      <c r="F85" s="1572"/>
      <c r="G85" s="1573"/>
      <c r="H85" s="1574"/>
      <c r="I85" s="1574"/>
      <c r="J85" s="645">
        <f>SUM(C85:I85)</f>
        <v>0</v>
      </c>
    </row>
    <row r="86" spans="2:19" x14ac:dyDescent="0.2">
      <c r="B86" s="386" t="s">
        <v>268</v>
      </c>
      <c r="C86" s="1575"/>
      <c r="D86" s="1576"/>
      <c r="E86" s="1577"/>
      <c r="F86" s="1578"/>
      <c r="G86" s="1579"/>
      <c r="H86" s="1578"/>
      <c r="I86" s="1578"/>
      <c r="J86" s="645">
        <f>SUM(C86:I86)</f>
        <v>0</v>
      </c>
    </row>
    <row r="87" spans="2:19" ht="13.5" thickBot="1" x14ac:dyDescent="0.25">
      <c r="B87" s="1152" t="s">
        <v>528</v>
      </c>
      <c r="C87" s="1580"/>
      <c r="D87" s="1581"/>
      <c r="E87" s="1582"/>
      <c r="F87" s="1583"/>
      <c r="G87" s="1584"/>
      <c r="H87" s="1583"/>
      <c r="I87" s="1583"/>
      <c r="J87" s="616">
        <f>SUM(C87:I87)</f>
        <v>0</v>
      </c>
    </row>
    <row r="88" spans="2:19" ht="13.5" thickBot="1" x14ac:dyDescent="0.25">
      <c r="B88" s="382" t="s">
        <v>264</v>
      </c>
      <c r="C88" s="394"/>
      <c r="D88" s="99"/>
      <c r="E88" s="99"/>
      <c r="F88" s="98"/>
      <c r="G88" s="101"/>
      <c r="H88" s="98"/>
      <c r="I88" s="752"/>
      <c r="J88" s="773"/>
    </row>
    <row r="89" spans="2:19" ht="13.5" thickBot="1" x14ac:dyDescent="0.25">
      <c r="B89" s="387" t="s">
        <v>265</v>
      </c>
      <c r="C89" s="1585"/>
      <c r="D89" s="1586"/>
      <c r="E89" s="1587"/>
      <c r="F89" s="1588"/>
      <c r="G89" s="1588"/>
      <c r="H89" s="1587"/>
      <c r="I89" s="1587"/>
      <c r="J89" s="424">
        <f>SUM(C89:H89)</f>
        <v>0</v>
      </c>
    </row>
    <row r="90" spans="2:19" ht="13.5" thickBot="1" x14ac:dyDescent="0.25">
      <c r="B90" s="382" t="s">
        <v>107</v>
      </c>
      <c r="C90" s="633">
        <f>C85+C86+C87+C89</f>
        <v>0</v>
      </c>
      <c r="D90" s="611">
        <f t="shared" ref="D90:I90" si="36">D85+D86+D87+D89</f>
        <v>0</v>
      </c>
      <c r="E90" s="612">
        <f t="shared" si="36"/>
        <v>0</v>
      </c>
      <c r="F90" s="612">
        <f>F85+F86+F87+F89</f>
        <v>0</v>
      </c>
      <c r="G90" s="612">
        <f t="shared" si="36"/>
        <v>0</v>
      </c>
      <c r="H90" s="612">
        <f>H85+H86+H87+H89</f>
        <v>0</v>
      </c>
      <c r="I90" s="768">
        <f t="shared" si="36"/>
        <v>0</v>
      </c>
      <c r="J90" s="610">
        <f>J85+J86+J87+J89</f>
        <v>0</v>
      </c>
    </row>
    <row r="91" spans="2:19" ht="13.5" thickBot="1" x14ac:dyDescent="0.25"/>
    <row r="92" spans="2:19" x14ac:dyDescent="0.2">
      <c r="B92" s="94" t="s">
        <v>424</v>
      </c>
      <c r="C92" s="368" t="s">
        <v>261</v>
      </c>
      <c r="D92" s="1646" t="s">
        <v>428</v>
      </c>
      <c r="E92" s="1647"/>
      <c r="F92" s="1647"/>
      <c r="G92" s="1647"/>
      <c r="H92" s="1647"/>
      <c r="I92" s="1648"/>
      <c r="J92" s="368" t="s">
        <v>144</v>
      </c>
      <c r="L92" s="94" t="s">
        <v>424</v>
      </c>
      <c r="M92" s="1649" t="s">
        <v>428</v>
      </c>
      <c r="N92" s="1650"/>
      <c r="O92" s="1650"/>
      <c r="P92" s="1650"/>
      <c r="Q92" s="1650"/>
      <c r="R92" s="1651"/>
      <c r="S92" s="368" t="s">
        <v>144</v>
      </c>
    </row>
    <row r="93" spans="2:19" ht="13.5" thickBot="1" x14ac:dyDescent="0.25">
      <c r="B93" s="95"/>
      <c r="C93" s="369"/>
      <c r="D93" s="390" t="str">
        <f t="shared" ref="D93:I93" si="37">D83</f>
        <v>Verkko1</v>
      </c>
      <c r="E93" s="391" t="str">
        <f t="shared" si="37"/>
        <v>Verkko2</v>
      </c>
      <c r="F93" s="391" t="str">
        <f t="shared" si="37"/>
        <v>Isorysä1</v>
      </c>
      <c r="G93" s="391" t="str">
        <f t="shared" si="37"/>
        <v>Isorysä2</v>
      </c>
      <c r="H93" s="391" t="str">
        <f t="shared" si="37"/>
        <v>PU-rysä1</v>
      </c>
      <c r="I93" s="774" t="str">
        <f t="shared" si="37"/>
        <v>PU-rysä2</v>
      </c>
      <c r="J93" s="369" t="s">
        <v>145</v>
      </c>
      <c r="L93" s="95"/>
      <c r="M93" s="466" t="str">
        <f t="shared" ref="M93:R93" si="38">D83</f>
        <v>Verkko1</v>
      </c>
      <c r="N93" s="391" t="str">
        <f t="shared" si="38"/>
        <v>Verkko2</v>
      </c>
      <c r="O93" s="391" t="str">
        <f t="shared" si="38"/>
        <v>Isorysä1</v>
      </c>
      <c r="P93" s="391" t="str">
        <f t="shared" si="38"/>
        <v>Isorysä2</v>
      </c>
      <c r="Q93" s="391" t="str">
        <f t="shared" si="38"/>
        <v>PU-rysä1</v>
      </c>
      <c r="R93" s="785" t="str">
        <f t="shared" si="38"/>
        <v>PU-rysä2</v>
      </c>
      <c r="S93" s="369" t="s">
        <v>145</v>
      </c>
    </row>
    <row r="94" spans="2:19" ht="13.5" thickBot="1" x14ac:dyDescent="0.25">
      <c r="B94" s="382" t="s">
        <v>529</v>
      </c>
      <c r="C94" s="394"/>
      <c r="D94" s="398"/>
      <c r="E94" s="398"/>
      <c r="F94" s="396"/>
      <c r="G94" s="396"/>
      <c r="H94" s="397"/>
      <c r="I94" s="397"/>
      <c r="J94" s="384"/>
      <c r="L94" s="385" t="s">
        <v>423</v>
      </c>
      <c r="M94" s="750"/>
      <c r="N94" s="99"/>
      <c r="O94" s="101"/>
      <c r="P94" s="101"/>
      <c r="Q94" s="98"/>
      <c r="R94" s="98"/>
      <c r="S94" s="38"/>
    </row>
    <row r="95" spans="2:19" x14ac:dyDescent="0.2">
      <c r="B95" s="386" t="s">
        <v>124</v>
      </c>
      <c r="C95" s="634">
        <f>C85*'11. Työtunnit'!$C$7</f>
        <v>0</v>
      </c>
      <c r="D95" s="599">
        <f>D85*'11. Työtunnit'!$C$7</f>
        <v>0</v>
      </c>
      <c r="E95" s="600">
        <f>E85*'11. Työtunnit'!$C$7</f>
        <v>0</v>
      </c>
      <c r="F95" s="600">
        <f>F85*'11. Työtunnit'!$C$7</f>
        <v>0</v>
      </c>
      <c r="G95" s="600">
        <f>G85*'11. Työtunnit'!$C$7</f>
        <v>0</v>
      </c>
      <c r="H95" s="600">
        <f>H85*'11. Työtunnit'!$C$7</f>
        <v>0</v>
      </c>
      <c r="I95" s="769">
        <f>I85*'11. Työtunnit'!$C$7</f>
        <v>0</v>
      </c>
      <c r="J95" s="598">
        <f>SUM(C95:I95)</f>
        <v>0</v>
      </c>
      <c r="L95" s="386" t="s">
        <v>124</v>
      </c>
      <c r="M95" s="433">
        <f>IF('4 Myynti'!$CL$24=0,0,(D95+($C95*M$4)))</f>
        <v>0</v>
      </c>
      <c r="N95" s="511">
        <f>IF('4 Myynti'!$CL$47=0,0,(E95+($C95*N$4)))</f>
        <v>0</v>
      </c>
      <c r="O95" s="438">
        <f>IF('2.2 Rysäpyynti'!$G$6=0,0,(F95+($C95*O$4)))</f>
        <v>0</v>
      </c>
      <c r="P95" s="438">
        <f>IF('2.2 Rysäpyynti'!$G$107=0,0,(G95+($C95*P$4)))</f>
        <v>0</v>
      </c>
      <c r="Q95" s="438">
        <f>IF('4 Myynti'!$CL$116=0,0,(H95+($C95*Q$4)))</f>
        <v>0</v>
      </c>
      <c r="R95" s="438">
        <f>IF('4 Myynti'!$CL$139=0,0,(I95+($C95*R$4)))</f>
        <v>0</v>
      </c>
      <c r="S95" s="426">
        <f>SUM(M95:R95)</f>
        <v>0</v>
      </c>
    </row>
    <row r="96" spans="2:19" x14ac:dyDescent="0.2">
      <c r="B96" s="386" t="s">
        <v>268</v>
      </c>
      <c r="C96" s="635">
        <f>C86*'11. Työtunnit'!$C$7</f>
        <v>0</v>
      </c>
      <c r="D96" s="603">
        <f>D86*'11. Työtunnit'!$C$7</f>
        <v>0</v>
      </c>
      <c r="E96" s="604">
        <f>E86*'11. Työtunnit'!$C$7</f>
        <v>0</v>
      </c>
      <c r="F96" s="604">
        <f>F86*'11. Työtunnit'!$C$7</f>
        <v>0</v>
      </c>
      <c r="G96" s="604">
        <f>G86*'11. Työtunnit'!$C$7</f>
        <v>0</v>
      </c>
      <c r="H96" s="604">
        <f>H86*'11. Työtunnit'!$C$7</f>
        <v>0</v>
      </c>
      <c r="I96" s="770">
        <f>I86*'11. Työtunnit'!$C$7</f>
        <v>0</v>
      </c>
      <c r="J96" s="602">
        <f>SUM(C96:I96)</f>
        <v>0</v>
      </c>
      <c r="L96" s="386" t="s">
        <v>268</v>
      </c>
      <c r="M96" s="437">
        <f>IF('4 Myynti'!$CL$24=0,0,(D96+($C96*M$4)))</f>
        <v>0</v>
      </c>
      <c r="N96" s="511">
        <f>IF('4 Myynti'!$CL$47=0,0,(E96+($C96*N$4)))</f>
        <v>0</v>
      </c>
      <c r="O96" s="438">
        <f>IF('2.2 Rysäpyynti'!$G$6=0,0,(F96+($C96*O$4)))</f>
        <v>0</v>
      </c>
      <c r="P96" s="438">
        <f>IF('2.2 Rysäpyynti'!$G$107=0,0,(G96+($C96*P$4)))</f>
        <v>0</v>
      </c>
      <c r="Q96" s="438">
        <f>IF('4 Myynti'!$CL$116=0,0,(H96+($C96*Q$4)))</f>
        <v>0</v>
      </c>
      <c r="R96" s="438">
        <f>IF('4 Myynti'!$CL$139=0,0,(I96+($C96*R$4)))</f>
        <v>0</v>
      </c>
      <c r="S96" s="426">
        <f>SUM(M96:R96)</f>
        <v>0</v>
      </c>
    </row>
    <row r="97" spans="2:19" ht="13.5" thickBot="1" x14ac:dyDescent="0.25">
      <c r="B97" s="1152" t="s">
        <v>528</v>
      </c>
      <c r="C97" s="635">
        <f>C87*'11. Työtunnit'!$C$7</f>
        <v>0</v>
      </c>
      <c r="D97" s="603">
        <f>D87*'11. Työtunnit'!$C$7</f>
        <v>0</v>
      </c>
      <c r="E97" s="604">
        <f>E87*'11. Työtunnit'!$C$7</f>
        <v>0</v>
      </c>
      <c r="F97" s="604">
        <f>F87*'11. Työtunnit'!$C$7</f>
        <v>0</v>
      </c>
      <c r="G97" s="604">
        <f>G87*'11. Työtunnit'!$C$7</f>
        <v>0</v>
      </c>
      <c r="H97" s="604">
        <f>H87*'11. Työtunnit'!$C$7</f>
        <v>0</v>
      </c>
      <c r="I97" s="770">
        <f>I87*'11. Työtunnit'!$C$7</f>
        <v>0</v>
      </c>
      <c r="J97" s="602">
        <f>SUM(C97:I97)</f>
        <v>0</v>
      </c>
      <c r="L97" s="1152" t="s">
        <v>528</v>
      </c>
      <c r="M97" s="437">
        <f>IF('4 Myynti'!$CL$24=0,0,(D97+($C97*M$4)))</f>
        <v>0</v>
      </c>
      <c r="N97" s="511">
        <f>IF('4 Myynti'!$CL$47=0,0,(E97+($C97*N$4)))</f>
        <v>0</v>
      </c>
      <c r="O97" s="438">
        <f>IF('2.2 Rysäpyynti'!$G$6=0,0,(F97+($C97*O$4)))</f>
        <v>0</v>
      </c>
      <c r="P97" s="438">
        <f>IF('2.2 Rysäpyynti'!$G$107=0,0,(G97+($C97*P$4)))</f>
        <v>0</v>
      </c>
      <c r="Q97" s="438">
        <f>IF('4 Myynti'!$CL$116=0,0,(H97+($C97*Q$4)))</f>
        <v>0</v>
      </c>
      <c r="R97" s="438">
        <f>IF('4 Myynti'!$CL$139=0,0,(I97+($C97*R$4)))</f>
        <v>0</v>
      </c>
      <c r="S97" s="426">
        <f>SUM(M97:R97)</f>
        <v>0</v>
      </c>
    </row>
    <row r="98" spans="2:19" ht="13.5" thickBot="1" x14ac:dyDescent="0.25">
      <c r="B98" s="382" t="s">
        <v>264</v>
      </c>
      <c r="C98" s="394"/>
      <c r="D98" s="99"/>
      <c r="E98" s="99"/>
      <c r="F98" s="98"/>
      <c r="G98" s="101"/>
      <c r="H98" s="98"/>
      <c r="I98" s="752"/>
      <c r="J98" s="773"/>
      <c r="L98" s="385" t="s">
        <v>264</v>
      </c>
      <c r="M98" s="754"/>
      <c r="N98" s="173"/>
      <c r="O98" s="173"/>
      <c r="P98" s="173"/>
      <c r="Q98" s="31"/>
      <c r="R98" s="31"/>
      <c r="S98" s="279"/>
    </row>
    <row r="99" spans="2:19" ht="13.5" thickBot="1" x14ac:dyDescent="0.25">
      <c r="B99" s="387" t="s">
        <v>269</v>
      </c>
      <c r="C99" s="634">
        <f>C89*'11. Työtunnit'!$C$7</f>
        <v>0</v>
      </c>
      <c r="D99" s="599">
        <f>D89*'11. Työtunnit'!$C$7</f>
        <v>0</v>
      </c>
      <c r="E99" s="600">
        <f>E89*'11. Työtunnit'!$C$7</f>
        <v>0</v>
      </c>
      <c r="F99" s="600">
        <f>F89*'11. Työtunnit'!$C$7</f>
        <v>0</v>
      </c>
      <c r="G99" s="600">
        <f>G89*'11. Työtunnit'!$C$7</f>
        <v>0</v>
      </c>
      <c r="H99" s="600">
        <f>H89*'11. Työtunnit'!$C$7</f>
        <v>0</v>
      </c>
      <c r="I99" s="769">
        <f>I89*'11. Työtunnit'!$C$7</f>
        <v>0</v>
      </c>
      <c r="J99" s="598">
        <f>SUM(C99:I99)</f>
        <v>0</v>
      </c>
      <c r="L99" s="387" t="s">
        <v>265</v>
      </c>
      <c r="M99" s="437">
        <f>IF('4 Myynti'!$CL$24=0,0,(D99+($C99*M$4)))</f>
        <v>0</v>
      </c>
      <c r="N99" s="511">
        <f>IF('4 Myynti'!$CL$47=0,0,(E99+($C99*N$4)))</f>
        <v>0</v>
      </c>
      <c r="O99" s="438">
        <f>IF('2.2 Rysäpyynti'!$G$6=0,0,(F99+($C99*O$4)))</f>
        <v>0</v>
      </c>
      <c r="P99" s="438">
        <f>IF('2.2 Rysäpyynti'!$G$107=0,0,(G99+($C99*P$4)))</f>
        <v>0</v>
      </c>
      <c r="Q99" s="438">
        <f>IF('4 Myynti'!$CL$116=0,0,(H99+($C99*Q$4)))</f>
        <v>0</v>
      </c>
      <c r="R99" s="438">
        <f>IF('4 Myynti'!$CL$139=0,0,(I99+($C99*R$4)))</f>
        <v>0</v>
      </c>
      <c r="S99" s="426">
        <f>SUM(M99:R99)</f>
        <v>0</v>
      </c>
    </row>
    <row r="100" spans="2:19" ht="13.5" thickBot="1" x14ac:dyDescent="0.25">
      <c r="B100" s="382" t="s">
        <v>107</v>
      </c>
      <c r="C100" s="633">
        <f t="shared" ref="C100:J100" si="39">C95+C96+C97+C99</f>
        <v>0</v>
      </c>
      <c r="D100" s="611">
        <f t="shared" si="39"/>
        <v>0</v>
      </c>
      <c r="E100" s="612">
        <f t="shared" si="39"/>
        <v>0</v>
      </c>
      <c r="F100" s="612">
        <f t="shared" si="39"/>
        <v>0</v>
      </c>
      <c r="G100" s="612">
        <f t="shared" si="39"/>
        <v>0</v>
      </c>
      <c r="H100" s="612">
        <f t="shared" si="39"/>
        <v>0</v>
      </c>
      <c r="I100" s="768">
        <f t="shared" si="39"/>
        <v>0</v>
      </c>
      <c r="J100" s="610">
        <f t="shared" si="39"/>
        <v>0</v>
      </c>
      <c r="L100" s="382" t="s">
        <v>107</v>
      </c>
      <c r="M100" s="461">
        <f t="shared" ref="M100:S100" si="40">M95+M96+M97+M99</f>
        <v>0</v>
      </c>
      <c r="N100" s="503">
        <f t="shared" si="40"/>
        <v>0</v>
      </c>
      <c r="O100" s="453">
        <f t="shared" si="40"/>
        <v>0</v>
      </c>
      <c r="P100" s="453">
        <f t="shared" si="40"/>
        <v>0</v>
      </c>
      <c r="Q100" s="453">
        <f t="shared" si="40"/>
        <v>0</v>
      </c>
      <c r="R100" s="453">
        <f t="shared" si="40"/>
        <v>0</v>
      </c>
      <c r="S100" s="423">
        <f t="shared" si="40"/>
        <v>0</v>
      </c>
    </row>
  </sheetData>
  <sheetProtection password="C576" sheet="1" objects="1" scenarios="1"/>
  <mergeCells count="10">
    <mergeCell ref="M3:S3"/>
    <mergeCell ref="D92:I92"/>
    <mergeCell ref="M5:R5"/>
    <mergeCell ref="M31:R31"/>
    <mergeCell ref="M58:R58"/>
    <mergeCell ref="M92:R92"/>
    <mergeCell ref="D5:I5"/>
    <mergeCell ref="D31:I31"/>
    <mergeCell ref="D58:I58"/>
    <mergeCell ref="D82:I82"/>
  </mergeCells>
  <phoneticPr fontId="16" type="noConversion"/>
  <pageMargins left="0.74803149606299213" right="0.74803149606299213" top="0.98425196850393704" bottom="0.98425196850393704" header="0.51181102362204722" footer="0.51181102362204722"/>
  <pageSetup paperSize="9" scale="45" orientation="portrait" r:id="rId1"/>
  <headerFooter alignWithMargins="0"/>
  <colBreaks count="2" manualBreakCount="2">
    <brk id="20" max="70" man="1"/>
    <brk id="29" max="1048575" man="1"/>
  </colBreaks>
  <drawing r:id="rId2"/>
  <legacyDrawing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14</vt:i4>
      </vt:variant>
      <vt:variant>
        <vt:lpstr>Nimetyt alueet</vt:lpstr>
      </vt:variant>
      <vt:variant>
        <vt:i4>14</vt:i4>
      </vt:variant>
    </vt:vector>
  </HeadingPairs>
  <TitlesOfParts>
    <vt:vector size="28" baseType="lpstr">
      <vt:lpstr>Ohje </vt:lpstr>
      <vt:lpstr>1. Kannattavuuslaskuri</vt:lpstr>
      <vt:lpstr>2.1 Verkkopyynti</vt:lpstr>
      <vt:lpstr>2.2 Rysäpyynti</vt:lpstr>
      <vt:lpstr>3 Saalis</vt:lpstr>
      <vt:lpstr>4 Myynti</vt:lpstr>
      <vt:lpstr>5 Kalan alkukäsittely satamassa</vt:lpstr>
      <vt:lpstr>6 Muuttuvat kustannukset</vt:lpstr>
      <vt:lpstr>7 Kiinteät kustannukset</vt:lpstr>
      <vt:lpstr>8 Taloudellinen tulos</vt:lpstr>
      <vt:lpstr>9 Simulointi</vt:lpstr>
      <vt:lpstr>10. Verot</vt:lpstr>
      <vt:lpstr>11. Työtunnit</vt:lpstr>
      <vt:lpstr>12. Hinnat</vt:lpstr>
      <vt:lpstr>'1. Kannattavuuslaskuri'!Tulostusalue</vt:lpstr>
      <vt:lpstr>'10. Verot'!Tulostusalue</vt:lpstr>
      <vt:lpstr>'11. Työtunnit'!Tulostusalue</vt:lpstr>
      <vt:lpstr>'12. Hinnat'!Tulostusalue</vt:lpstr>
      <vt:lpstr>'2.1 Verkkopyynti'!Tulostusalue</vt:lpstr>
      <vt:lpstr>'2.2 Rysäpyynti'!Tulostusalue</vt:lpstr>
      <vt:lpstr>'3 Saalis'!Tulostusalue</vt:lpstr>
      <vt:lpstr>'4 Myynti'!Tulostusalue</vt:lpstr>
      <vt:lpstr>'5 Kalan alkukäsittely satamassa'!Tulostusalue</vt:lpstr>
      <vt:lpstr>'6 Muuttuvat kustannukset'!Tulostusalue</vt:lpstr>
      <vt:lpstr>'7 Kiinteät kustannukset'!Tulostusalue</vt:lpstr>
      <vt:lpstr>'8 Taloudellinen tulos'!Tulostusalue</vt:lpstr>
      <vt:lpstr>'9 Simulointi'!Tulostusalue</vt:lpstr>
      <vt:lpstr>'Ohje '!Tulostusalue</vt:lpstr>
    </vt:vector>
  </TitlesOfParts>
  <Company>RKTL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Jari Setälä</dc:creator>
  <cp:lastModifiedBy>Leena Manneri</cp:lastModifiedBy>
  <cp:lastPrinted>2013-05-14T04:50:28Z</cp:lastPrinted>
  <dcterms:created xsi:type="dcterms:W3CDTF">2009-02-03T13:14:18Z</dcterms:created>
  <dcterms:modified xsi:type="dcterms:W3CDTF">2024-02-20T13:32:14Z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